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риложение 1.1" sheetId="1" r:id="rId1"/>
    <sheet name="приложение 1.2" sheetId="2" r:id="rId2"/>
    <sheet name="приложение 1.3" sheetId="3" r:id="rId3"/>
    <sheet name="приложение 1.4.-2016" sheetId="4" r:id="rId4"/>
    <sheet name="приложение 2.2" sheetId="5" r:id="rId5"/>
    <sheet name="приложение 3.1" sheetId="6" r:id="rId6"/>
    <sheet name="приложение 3.2" sheetId="7" r:id="rId7"/>
  </sheets>
  <externalReferences>
    <externalReference r:id="rId10"/>
    <externalReference r:id="rId11"/>
  </externalReferences>
  <definedNames>
    <definedName name="_xlnm.Print_Titles" localSheetId="0">'приложение 1.1'!$15:$17</definedName>
    <definedName name="_xlnm.Print_Titles" localSheetId="1">'приложение 1.2'!$16:$18</definedName>
    <definedName name="_xlnm.Print_Titles" localSheetId="2">'приложение 1.3'!$16:$20</definedName>
    <definedName name="_xlnm.Print_Titles" localSheetId="3">'приложение 1.4.-2016'!$19:$22</definedName>
    <definedName name="_xlnm.Print_Titles" localSheetId="4">'приложение 2.2'!$15:$17</definedName>
    <definedName name="_xlnm.Print_Area" localSheetId="0">'приложение 1.1'!$A$1:$W$185</definedName>
    <definedName name="_xlnm.Print_Area" localSheetId="2">'приложение 1.3'!$A$1:$AQ$239</definedName>
    <definedName name="_xlnm.Print_Area" localSheetId="3">'приложение 1.4.-2016'!$A$1:$W$68</definedName>
    <definedName name="_xlnm.Print_Area" localSheetId="5">'приложение 3.1'!$A$1:$H$6057</definedName>
  </definedNames>
  <calcPr fullCalcOnLoad="1"/>
</workbook>
</file>

<file path=xl/sharedStrings.xml><?xml version="1.0" encoding="utf-8"?>
<sst xmlns="http://schemas.openxmlformats.org/spreadsheetml/2006/main" count="23967" uniqueCount="936">
  <si>
    <r>
      <t xml:space="preserve">по состоянию на </t>
    </r>
    <r>
      <rPr>
        <u val="single"/>
        <sz val="12"/>
        <rFont val="Times New Roman"/>
        <family val="1"/>
      </rPr>
      <t xml:space="preserve"> 29 февраля 2016г.</t>
    </r>
  </si>
  <si>
    <t>30.12.2014г.</t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</si>
  <si>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ВЛИ-0,4кВ КТПН-1102 фидера 1, 1а, 2, 2а, 3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</si>
  <si>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ВЛИ-0,4кВ ТП-1101 ф.1,2,3,4,5,6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</si>
  <si>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ВЛИ-0,4кВ ТП-1004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</si>
  <si>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ВЛИ-0,4кВ от ТП-136 до СОО «Буровик»</t>
    </r>
  </si>
  <si>
    <t>31.10.2015г.</t>
  </si>
  <si>
    <t>17.12.2015г.</t>
  </si>
  <si>
    <t>05.03.2016г.</t>
  </si>
  <si>
    <t>05.07.2016г.</t>
  </si>
  <si>
    <t>25.11.2016г.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</si>
  <si>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РП-9</t>
    </r>
  </si>
  <si>
    <t>31.10.2016г.</t>
  </si>
  <si>
    <t>01.11.2016г.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</si>
  <si>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КТПН-68 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</si>
  <si>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Мачта освещения ПМС-32,5</t>
    </r>
  </si>
  <si>
    <t>15.02.2014г.</t>
  </si>
  <si>
    <t>05.03.2014г.</t>
  </si>
  <si>
    <t>06.03.2014г.</t>
  </si>
  <si>
    <t>10.03.2014г.</t>
  </si>
  <si>
    <t>11.03.2014г.</t>
  </si>
  <si>
    <t>15.03.2014г.</t>
  </si>
  <si>
    <t>15.07.2014г.</t>
  </si>
  <si>
    <t>16.07.2014г.</t>
  </si>
  <si>
    <t>05.08.2014г.</t>
  </si>
  <si>
    <t>06.08.2014г.</t>
  </si>
  <si>
    <t>15.08.2014г.</t>
  </si>
  <si>
    <t>16.08.2014г.</t>
  </si>
  <si>
    <t>25.08.2014г.</t>
  </si>
  <si>
    <t>10.09.2014г.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</si>
  <si>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Спецтехника</t>
    </r>
  </si>
  <si>
    <t>Приложение  № 3.2</t>
  </si>
  <si>
    <t>I. Контрольные этапы реализации инвестиционного проекта для сетевых компаний</t>
  </si>
  <si>
    <t>Наименование</t>
  </si>
  <si>
    <t>Тип</t>
  </si>
  <si>
    <t>событие</t>
  </si>
  <si>
    <t>работа</t>
  </si>
  <si>
    <t xml:space="preserve"> </t>
  </si>
  <si>
    <t>Приложение  № 1.1</t>
  </si>
  <si>
    <t>к Приказу Минэнерго РФ от 24.03.2010г. №114</t>
  </si>
  <si>
    <t>Департамента жилищно-коммунального комплекса и энергетики</t>
  </si>
  <si>
    <t>Ханты-Мансийского автономного округа - Югры</t>
  </si>
  <si>
    <t>Перечень инвестиционных проектов и плановые показатели реализации инвестиционной программы ОАО «Радужнинские городские электрические сети» на 2014-2016 годы</t>
  </si>
  <si>
    <t>Утверждаю</t>
  </si>
  <si>
    <t>Генеральный директор ОАО "РГЭС"</t>
  </si>
  <si>
    <t>г.Радужный</t>
  </si>
  <si>
    <t>К.А.Добровольский</t>
  </si>
  <si>
    <t>М.П.</t>
  </si>
  <si>
    <t>№ п/п</t>
  </si>
  <si>
    <t>Наименование объекта</t>
  </si>
  <si>
    <t>Стадия реализации проекта</t>
  </si>
  <si>
    <t>Проектная мощность/
протяженность сетей</t>
  </si>
  <si>
    <t>Плановые показатели энергетической эффективности, тыс. кВт/ч</t>
  </si>
  <si>
    <t>год  начала реализации инвестиционного проекта</t>
  </si>
  <si>
    <t>год  окончания реализации инвестиционного проекта</t>
  </si>
  <si>
    <t>Полная 
стоимость 
реализации инвестиционного проекта</t>
  </si>
  <si>
    <t>Остаточная стоимость реализации инвестиционного проекта</t>
  </si>
  <si>
    <t>План 
финансирования 
текущего года</t>
  </si>
  <si>
    <t>Ввод мощностей</t>
  </si>
  <si>
    <t>Объем финансирования</t>
  </si>
  <si>
    <t>План года 2014</t>
  </si>
  <si>
    <t>План года 2015</t>
  </si>
  <si>
    <t>План года 2016</t>
  </si>
  <si>
    <t>Итого</t>
  </si>
  <si>
    <t>План 
года 2014</t>
  </si>
  <si>
    <t>План 
года 2015</t>
  </si>
  <si>
    <t>План 
года 2016</t>
  </si>
  <si>
    <t>С/П*</t>
  </si>
  <si>
    <t>МВА</t>
  </si>
  <si>
    <t>км</t>
  </si>
  <si>
    <t>млн. рублей</t>
  </si>
  <si>
    <t xml:space="preserve">ВСЕГО, </t>
  </si>
  <si>
    <t>1.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</si>
  <si>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</si>
  <si>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</si>
  <si>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</si>
  <si>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</si>
  <si>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ВЛ-35кВ ф.ф. 2,5 ПС 110/35/10кВ «Промзона»</t>
  </si>
  <si>
    <t>С</t>
  </si>
  <si>
    <t>1.1.2.</t>
  </si>
  <si>
    <t>ВЛ-35кВ ф.ф. 3,6 ПС 110/35/10кВ «Промзона»</t>
  </si>
  <si>
    <t>1.1.3.</t>
  </si>
  <si>
    <t xml:space="preserve">ВЛ-35кВ ф.ф. 1,3 ПС 110/35/10кВ «Радужная» </t>
  </si>
  <si>
    <t>1.1.4.</t>
  </si>
  <si>
    <t>4 КЛ-0,4кВ от ТП-21 до жилого дома №2</t>
  </si>
  <si>
    <t>1.1.5.</t>
  </si>
  <si>
    <t>2 КЛ-0,4кВ от ТП-21 до ВРУ-0,4кВ СКБ жилого дома №2</t>
  </si>
  <si>
    <t>1.1.6.</t>
  </si>
  <si>
    <t>2 КЛ-0,4кВ от ТП-72 до ВРУ 0,4кВ жилого дома №26</t>
  </si>
  <si>
    <t>1.1.7.</t>
  </si>
  <si>
    <t>КТПН-157</t>
  </si>
  <si>
    <t>1.1.8.</t>
  </si>
  <si>
    <t>2 КЛ-6кВ от РП-1-ТП-13</t>
  </si>
  <si>
    <t>1.1.9.</t>
  </si>
  <si>
    <t>ТП-51</t>
  </si>
  <si>
    <t>1.1.10.</t>
  </si>
  <si>
    <t>ТП-53</t>
  </si>
  <si>
    <t>1.1.11.</t>
  </si>
  <si>
    <t>ТП-61</t>
  </si>
  <si>
    <t>1.1.12.</t>
  </si>
  <si>
    <t>ТП-62</t>
  </si>
  <si>
    <t>1.1.13.</t>
  </si>
  <si>
    <t>ТП-141</t>
  </si>
  <si>
    <t>1.1.14.</t>
  </si>
  <si>
    <t>КТПН-16</t>
  </si>
  <si>
    <t>1.1.15.</t>
  </si>
  <si>
    <t>КТПН-17</t>
  </si>
  <si>
    <t>1.1.16.</t>
  </si>
  <si>
    <t>КТПН-33</t>
  </si>
  <si>
    <t>1.1.17.</t>
  </si>
  <si>
    <t>КТПН-32</t>
  </si>
  <si>
    <t>1.1.18.</t>
  </si>
  <si>
    <t>КТПН-103</t>
  </si>
  <si>
    <t>1.1.19.</t>
  </si>
  <si>
    <t>КТПН-109</t>
  </si>
  <si>
    <t>1.1.20.</t>
  </si>
  <si>
    <t>КТПН-129</t>
  </si>
  <si>
    <t>1.1.21.</t>
  </si>
  <si>
    <t>КТПН-139</t>
  </si>
  <si>
    <t>1.1.22.</t>
  </si>
  <si>
    <t>КТПН-148</t>
  </si>
  <si>
    <t>1.1.23.</t>
  </si>
  <si>
    <t>ПС 35/6кВ «Поселок»</t>
  </si>
  <si>
    <t>1.1.24.</t>
  </si>
  <si>
    <t>ПС 35/10кВ «Дачная»</t>
  </si>
  <si>
    <t>1.1.25.</t>
  </si>
  <si>
    <t>ПС 35/10/6кВ «ГТЭС-2»</t>
  </si>
  <si>
    <t>1.1.26.</t>
  </si>
  <si>
    <t>ПС 35/6кВ «Новоаганская»</t>
  </si>
  <si>
    <t>1.1.27.</t>
  </si>
  <si>
    <t>РП-4</t>
  </si>
  <si>
    <t>1.1.28.</t>
  </si>
  <si>
    <t>РП-8</t>
  </si>
  <si>
    <t>1.1.29.</t>
  </si>
  <si>
    <t>ВЛ 6кВ ф.208 ПС 35/6кВ «Город-2»</t>
  </si>
  <si>
    <t>1.1.30.</t>
  </si>
  <si>
    <t>ВЛ 10кВ ф.4 ПС 35/10кВ «Котельная-3»</t>
  </si>
  <si>
    <t>1.1.31.</t>
  </si>
  <si>
    <t>ВЛ 6кВ ф.ф.104,204 ПС «Город-2», ВЛ 10кВ ф.ф.8,18 ПС «Город-3»</t>
  </si>
  <si>
    <t>1.1.32.</t>
  </si>
  <si>
    <t>4 КЛ 0,4кВ от ТП-25 до ВРУ 0,4кВ жилого дома №23</t>
  </si>
  <si>
    <t>1.1.33.</t>
  </si>
  <si>
    <t>2 КЛ 0,4кВ от ТП-25 до ВРУ 0,4кВ СКБ жилого дома №23</t>
  </si>
  <si>
    <t>1.1.34.</t>
  </si>
  <si>
    <t>4 КЛ-0,4кВ от ТП-31 до ВРУ 0,4кВ жилого дома №2</t>
  </si>
  <si>
    <t>1.1.35.</t>
  </si>
  <si>
    <t xml:space="preserve">ВЛ-10кВ ПС «Радужная-Город-1» </t>
  </si>
  <si>
    <t>1.1.36.</t>
  </si>
  <si>
    <t>ВЛ-10кВ ф.211 ПС 110/35/10кВ "Промзона"</t>
  </si>
  <si>
    <t>1.1.37.</t>
  </si>
  <si>
    <t xml:space="preserve">ВЛ-6кВ ф.6 ПС «Аэропорт» </t>
  </si>
  <si>
    <t>1.1.38.</t>
  </si>
  <si>
    <t xml:space="preserve">ВЛ-6кВ ПС «Кирпичная» </t>
  </si>
  <si>
    <t>1.1.39.</t>
  </si>
  <si>
    <t xml:space="preserve">ВЛ-6/10кВ «ПС Промзона, ПС Варьеган, ПС Поселок, ПС Котельная-3, ПС Котельная-4» </t>
  </si>
  <si>
    <t>1.1.40.</t>
  </si>
  <si>
    <t>ВЛ-35кВ ПС «Радужная», ПС «КНС-2»</t>
  </si>
  <si>
    <t>1.1.41.</t>
  </si>
  <si>
    <t xml:space="preserve">ВЛ-10кВ ПС «Город-3» (КЛ-10кВ ф.4,14 ПС 35/10кВ "Город-3") </t>
  </si>
  <si>
    <t>1.1.42.</t>
  </si>
  <si>
    <t>ВЛ-35кВ ф.ф. №№1,3 ПС «Варьеган»</t>
  </si>
  <si>
    <t>1.1.43.</t>
  </si>
  <si>
    <t xml:space="preserve">ВЛ-10кВ Ф-8 ПС «Дачная» </t>
  </si>
  <si>
    <t>1.1.44.</t>
  </si>
  <si>
    <t>ВЛ-6кВ ф.6 ПС «Причал»</t>
  </si>
  <si>
    <t>1.1.45.</t>
  </si>
  <si>
    <t xml:space="preserve">ВЛ-6кВ Ф-4 ПС «Аэропорт» </t>
  </si>
  <si>
    <t>1.1.46.</t>
  </si>
  <si>
    <t>ВЛ-10кВ от ПС 35/10кВ «Город-3» до опоры №9</t>
  </si>
  <si>
    <t>1.1.47.</t>
  </si>
  <si>
    <t>КЛ 7 мкр (2КЛ-0,4кВ от ТП-72 до ВРУ-0,4кВ ж.д.16)</t>
  </si>
  <si>
    <t>1.1.48.</t>
  </si>
  <si>
    <t>КЛ 6кВ</t>
  </si>
  <si>
    <t>1.1.49.</t>
  </si>
  <si>
    <t>КЛ 2 мкр</t>
  </si>
  <si>
    <t>1.1.50.</t>
  </si>
  <si>
    <t>ТП-11</t>
  </si>
  <si>
    <t>1.1.51.</t>
  </si>
  <si>
    <t>ТП-12</t>
  </si>
  <si>
    <t>1.1.52.</t>
  </si>
  <si>
    <t>ТП-13</t>
  </si>
  <si>
    <t>1.1.53.</t>
  </si>
  <si>
    <t>ТП-14</t>
  </si>
  <si>
    <t>1.1.54.</t>
  </si>
  <si>
    <t>ТП-21</t>
  </si>
  <si>
    <t>1.1.55.</t>
  </si>
  <si>
    <t>ТП-22</t>
  </si>
  <si>
    <t>1.1.56.</t>
  </si>
  <si>
    <t>ТП-23</t>
  </si>
  <si>
    <t>1.1.57.</t>
  </si>
  <si>
    <t>ТП-24</t>
  </si>
  <si>
    <t>1.1.58.</t>
  </si>
  <si>
    <t xml:space="preserve">ТП-25 </t>
  </si>
  <si>
    <t>1.1.59.</t>
  </si>
  <si>
    <t>ТП-26</t>
  </si>
  <si>
    <t>1.1.60.</t>
  </si>
  <si>
    <t>ТП-31</t>
  </si>
  <si>
    <t>1.1.61.</t>
  </si>
  <si>
    <t>ТП-32</t>
  </si>
  <si>
    <t>1.1.62.</t>
  </si>
  <si>
    <t>ТП-33</t>
  </si>
  <si>
    <t>1.1.63.</t>
  </si>
  <si>
    <t>ТП-41</t>
  </si>
  <si>
    <t>1.1.64.</t>
  </si>
  <si>
    <t>ТП-42</t>
  </si>
  <si>
    <t>1.1.65.</t>
  </si>
  <si>
    <t>ТП-63</t>
  </si>
  <si>
    <t>1.1.66.</t>
  </si>
  <si>
    <t>ТП-64</t>
  </si>
  <si>
    <t>1.1.67.</t>
  </si>
  <si>
    <t>ТП-64А</t>
  </si>
  <si>
    <t>1.1.68.</t>
  </si>
  <si>
    <t>ТП-71</t>
  </si>
  <si>
    <t>1.1.69.</t>
  </si>
  <si>
    <t>ТП-72</t>
  </si>
  <si>
    <t>1.1.70.</t>
  </si>
  <si>
    <t>ТП-73</t>
  </si>
  <si>
    <t>1.1.71.</t>
  </si>
  <si>
    <t>ТП-74</t>
  </si>
  <si>
    <t>1.1.72.</t>
  </si>
  <si>
    <t>ТП-75</t>
  </si>
  <si>
    <t>1.1.73.</t>
  </si>
  <si>
    <t>ТП-83</t>
  </si>
  <si>
    <t>1.1.74.</t>
  </si>
  <si>
    <t>ТП-92</t>
  </si>
  <si>
    <t>1.1.75.</t>
  </si>
  <si>
    <t>ТП-93</t>
  </si>
  <si>
    <t>1.1.76.</t>
  </si>
  <si>
    <t>ТП-94</t>
  </si>
  <si>
    <t>1.1.77.</t>
  </si>
  <si>
    <t xml:space="preserve">ТП-115А </t>
  </si>
  <si>
    <t>1.1.78.</t>
  </si>
  <si>
    <t>ТП-1001</t>
  </si>
  <si>
    <t>1.1.79.</t>
  </si>
  <si>
    <t>КТПН-25А</t>
  </si>
  <si>
    <t>1.1.80.</t>
  </si>
  <si>
    <t>КТПН-36</t>
  </si>
  <si>
    <t>1.1.81.</t>
  </si>
  <si>
    <t>КТПН-41</t>
  </si>
  <si>
    <t>1.1.82.</t>
  </si>
  <si>
    <t>КТПН-62А</t>
  </si>
  <si>
    <t>1.1.83.</t>
  </si>
  <si>
    <t>КТПН-69</t>
  </si>
  <si>
    <t>1.1.84.</t>
  </si>
  <si>
    <t>КТПН-107</t>
  </si>
  <si>
    <t>1.1.85.</t>
  </si>
  <si>
    <t>КТПН-114</t>
  </si>
  <si>
    <t>1.1.86.</t>
  </si>
  <si>
    <t>КТПН-131</t>
  </si>
  <si>
    <t>1.1.87.</t>
  </si>
  <si>
    <t>КТПН-135</t>
  </si>
  <si>
    <t>1.1.88.</t>
  </si>
  <si>
    <t>КТПН-136</t>
  </si>
  <si>
    <t>1.1.89.</t>
  </si>
  <si>
    <t>КТПН-145</t>
  </si>
  <si>
    <t>1.1.90.</t>
  </si>
  <si>
    <t>КТПН-155</t>
  </si>
  <si>
    <t>1.1.91.</t>
  </si>
  <si>
    <t>КТПН-161</t>
  </si>
  <si>
    <t>1.1.92.</t>
  </si>
  <si>
    <t>КТПН-1101</t>
  </si>
  <si>
    <t>1.1.93.</t>
  </si>
  <si>
    <t>КТПН-1102</t>
  </si>
  <si>
    <t>1.1.94.</t>
  </si>
  <si>
    <t>КТПН-2202</t>
  </si>
  <si>
    <t>1.1.95.</t>
  </si>
  <si>
    <t>КТПН-2304</t>
  </si>
  <si>
    <t>1.1.96.</t>
  </si>
  <si>
    <t>КТП-113</t>
  </si>
  <si>
    <t>1.1.97.</t>
  </si>
  <si>
    <t>КТП-140</t>
  </si>
  <si>
    <t>1.1.98.</t>
  </si>
  <si>
    <t>ПС 35/6кВ «Лесная»</t>
  </si>
  <si>
    <t>1.1.99.</t>
  </si>
  <si>
    <t>ПС 35/6кВ «Котельная-4»</t>
  </si>
  <si>
    <t>1.1.100.</t>
  </si>
  <si>
    <t>ПС 35/10кВ «Котельная-3»</t>
  </si>
  <si>
    <t>1.1.101.</t>
  </si>
  <si>
    <t>ПС 35/6кВ «Котельная-2»</t>
  </si>
  <si>
    <t>1.1.102.</t>
  </si>
  <si>
    <t>ПС 35/10кВ «Город-1»</t>
  </si>
  <si>
    <t>1.1.103.</t>
  </si>
  <si>
    <t>ПС 35/6кВ «Город-2»</t>
  </si>
  <si>
    <t>1.1.104.</t>
  </si>
  <si>
    <t>ПС 35/6кВ "Рославльская", в т.ч. ПС 35/6кВ «БКНС»</t>
  </si>
  <si>
    <t>1.1.105.</t>
  </si>
  <si>
    <t>ПС 10/6кВ «Перевертыш»</t>
  </si>
  <si>
    <t>1.1.106.</t>
  </si>
  <si>
    <t>КРУН ПС 220/110/35/6 кВ Варьеган</t>
  </si>
  <si>
    <t>1.1.107.</t>
  </si>
  <si>
    <t>РП-5</t>
  </si>
  <si>
    <t>1.1.108.</t>
  </si>
  <si>
    <t>РП-6</t>
  </si>
  <si>
    <t>1.1.109.</t>
  </si>
  <si>
    <t>РП-9</t>
  </si>
  <si>
    <t>1.1.110.</t>
  </si>
  <si>
    <t>2КЛ-0,4 кВ от ТП-62 до жилого дома №14</t>
  </si>
  <si>
    <t>1.1.111.</t>
  </si>
  <si>
    <t>2КЛ-0,4 кВ от ТП-25 до жилого дома №4</t>
  </si>
  <si>
    <t>1.1.112.</t>
  </si>
  <si>
    <t>2КЛ-0,4 кВ от ТП-23 до ВРУ-0,4 кВ жилого дома №11</t>
  </si>
  <si>
    <t>1.1.113.</t>
  </si>
  <si>
    <t>ТП-1005</t>
  </si>
  <si>
    <t>1.1.114.</t>
  </si>
  <si>
    <t>КТПН-76</t>
  </si>
  <si>
    <t>1.1.115.</t>
  </si>
  <si>
    <t>КТПН-102</t>
  </si>
  <si>
    <t>1.1.116.</t>
  </si>
  <si>
    <t>КТПН-115</t>
  </si>
  <si>
    <t>1.1.117.</t>
  </si>
  <si>
    <t>КТПН-116</t>
  </si>
  <si>
    <t>1.1.118.</t>
  </si>
  <si>
    <t>ПС 35/10кВ «Город-3»</t>
  </si>
  <si>
    <t>1.2.</t>
  </si>
  <si>
    <t>Создание систем противоаварийной и режимной автоматики</t>
  </si>
  <si>
    <t>1.3.</t>
  </si>
  <si>
    <t>Создание систем телемеханики и связи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</si>
  <si>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</si>
  <si>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</si>
  <si>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</si>
  <si>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</si>
  <si>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</si>
  <si>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2.1.1.</t>
  </si>
  <si>
    <t>2 КЛ-6кВ от ТП-22 до ТП-12</t>
  </si>
  <si>
    <t>П/С</t>
  </si>
  <si>
    <t>2.2.</t>
  </si>
  <si>
    <t>Прочее новое строительство</t>
  </si>
  <si>
    <t>2.2.1.</t>
  </si>
  <si>
    <t>Кабельные линии</t>
  </si>
  <si>
    <t>2.2.1.1.</t>
  </si>
  <si>
    <t>2 КЛ-0,4кВ от ТП-24 до ВРУ-0,4кВ жилого дома №37.1 стр.</t>
  </si>
  <si>
    <t>2.2.1.2.</t>
  </si>
  <si>
    <t>2 КЛ-0,4кВ от ТП-14 до ВРУ-0,4кВ жилого дома №27.0 стр.</t>
  </si>
  <si>
    <t>2.2.1.3.</t>
  </si>
  <si>
    <t>2 КЛ 0,4кВ от ТП-83 до ВРУ 0,4кВ жилого дома №20 (стр.)</t>
  </si>
  <si>
    <t>2.2.1.4.</t>
  </si>
  <si>
    <t>КЛ-10кВ от ТП-63 до ТП-83</t>
  </si>
  <si>
    <t>2.2.1.5.</t>
  </si>
  <si>
    <t>КЛ-0,4кВ от ТП-78 до Автостоянки в мкр.7а</t>
  </si>
  <si>
    <t>2.2.1.6.</t>
  </si>
  <si>
    <t>2КЛ-10 кВ от ТП-1004 — ТП-1005</t>
  </si>
  <si>
    <t>2.2.1.7.</t>
  </si>
  <si>
    <t>КЛ-10кВ от оп.6 ф.ф. 5, 15 ВЛ-10кВ ПС «Город-3» до ТП-1005</t>
  </si>
  <si>
    <t>2.2.1.8.</t>
  </si>
  <si>
    <t>КЛ-0,4 кВ от КТПН-77 до ж/д №12.9-12.11Тех.Присоед</t>
  </si>
  <si>
    <t>2.2.1.9.</t>
  </si>
  <si>
    <t>2КЛ 0,4 кВ от ТП-12 до ВРУ 0,4кВ жилого дома №41</t>
  </si>
  <si>
    <t>2.2.1.10.</t>
  </si>
  <si>
    <t>2 КЛ 0,4кВ от ТП-25  до ВРУ 0,4кВ жилого дома №3</t>
  </si>
  <si>
    <t>2.2.1.11.</t>
  </si>
  <si>
    <t>2 КЛ 0,4кВ от ТП-42 до ВРУ 0,4кВ жилого дома №16</t>
  </si>
  <si>
    <t>2.2.1.12.</t>
  </si>
  <si>
    <t>4 КЛ-0,4кВ от РП-1 до ВРУ 0,4кВ жилого дома №30</t>
  </si>
  <si>
    <t>2.2.1.13.</t>
  </si>
  <si>
    <t>2КЛ 0,4кВ от РП-1 до ВРУ 0,4кВ СКБ жилого дома №30</t>
  </si>
  <si>
    <t>2.2.2.</t>
  </si>
  <si>
    <t>Воздушная линия</t>
  </si>
  <si>
    <t>2.2.2.1.</t>
  </si>
  <si>
    <t>ВЛИ-0,4кВ от ТП-157 до СОО «Буровик»</t>
  </si>
  <si>
    <t>2.2.2.2.</t>
  </si>
  <si>
    <t>ВЛИ-0,4кВ от ТП-136 до СОО «Буровик»</t>
  </si>
  <si>
    <t>2.2.2.3.</t>
  </si>
  <si>
    <t>ВЛИ-0,4кВ КТПН-1102 фидера 1, 1а, 2, 2а, 3</t>
  </si>
  <si>
    <t>2.2.2.4.</t>
  </si>
  <si>
    <t>ВЛИ-0,4кВ ТП-1101 ф.1,2,3,4,5,6</t>
  </si>
  <si>
    <t>2.2.2.5.</t>
  </si>
  <si>
    <t>ВЛИ-0,4кВ ТП-1004</t>
  </si>
  <si>
    <t>2.2.2.6.</t>
  </si>
  <si>
    <t>ВЛИ-0,4кВ от ТП-130</t>
  </si>
  <si>
    <t>ВЛИ-0,4кВ от ТП-145</t>
  </si>
  <si>
    <t>2.2.3.</t>
  </si>
  <si>
    <t>Подстанция</t>
  </si>
  <si>
    <t>2.2.3.1.</t>
  </si>
  <si>
    <t>КТПН-68</t>
  </si>
  <si>
    <t>2.2.4.</t>
  </si>
  <si>
    <t>Прочее строительство</t>
  </si>
  <si>
    <t>3.</t>
  </si>
  <si>
    <t>Спецтехника</t>
  </si>
  <si>
    <t>3.1.</t>
  </si>
  <si>
    <t>-</t>
  </si>
  <si>
    <t>3.3.</t>
  </si>
  <si>
    <t>Справочно:</t>
  </si>
  <si>
    <t>Оплата процентов за привлеченные кредитные ресурсы</t>
  </si>
  <si>
    <t>…</t>
  </si>
  <si>
    <t>* С - строительство, П- проектирование</t>
  </si>
  <si>
    <t>** - согласно проектной документации в текущих ценах (без  НДС)</t>
  </si>
  <si>
    <t>*** - для сетевых организаций, переходящих на метод тарифного регулирования RAB, горизонт планирования пять лет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</si>
  <si>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</si>
  <si>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</si>
  <si>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Приложение  № 1.2</t>
  </si>
  <si>
    <t>Стоимость основных этапов работ по реализации инвестиционной программы</t>
  </si>
  <si>
    <t>ОАО "РГЭС" г. Радужный на период 2014-2016 гг.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</si>
  <si>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</si>
  <si>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</si>
  <si>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</si>
  <si>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</si>
  <si>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</si>
  <si>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</si>
  <si>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</si>
  <si>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</si>
  <si>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</si>
  <si>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</si>
  <si>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</si>
  <si>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</si>
  <si>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</si>
  <si>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</si>
  <si>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</si>
  <si>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</si>
  <si>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</si>
  <si>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</si>
  <si>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</si>
  <si>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</si>
  <si>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</si>
  <si>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</si>
  <si>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</si>
  <si>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</si>
  <si>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</si>
  <si>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ВЛ-35кВ ф.ф. 2,5 ПС 110/35/10кВ "Промзона"</t>
  </si>
  <si>
    <t>ПБ-35,П-35,ПБ-110,У-35,У-110</t>
  </si>
  <si>
    <t>АС-120</t>
  </si>
  <si>
    <t>АСБу 3х120+1х50</t>
  </si>
  <si>
    <t>АВБбШв 4х120</t>
  </si>
  <si>
    <t>АВВГ 3х70+1х35</t>
  </si>
  <si>
    <t>АВБбШв 3х120+1х70</t>
  </si>
  <si>
    <t>АСБу 3х240</t>
  </si>
  <si>
    <t>АВБбШв 3х240</t>
  </si>
  <si>
    <t>ПТ10-1, КТ10-1</t>
  </si>
  <si>
    <t>АС-95</t>
  </si>
  <si>
    <t>ПБ-35,П-35,У-35</t>
  </si>
  <si>
    <t>АВБбШв 4х70</t>
  </si>
  <si>
    <t>АВВГ 3х150+1х70, АВВГ 3х185+1х95</t>
  </si>
  <si>
    <t>30 лет</t>
  </si>
  <si>
    <t>А-95</t>
  </si>
  <si>
    <t>ААБГ 3х150+1х70, АВБбШв 3х185+1х95</t>
  </si>
  <si>
    <t>АСБу 3х70</t>
  </si>
  <si>
    <t>АСБу 3х120+1х50, АВВГ 3х70+1х35</t>
  </si>
  <si>
    <t>АВБбШв 3х185+1х95</t>
  </si>
  <si>
    <t>АВБбШв 4х185</t>
  </si>
  <si>
    <t>ААШвУ</t>
  </si>
  <si>
    <t>АВБбШв</t>
  </si>
  <si>
    <t>АПвП 1х120</t>
  </si>
  <si>
    <t>ААШв 3х120</t>
  </si>
  <si>
    <t>АПвП 1х120, АПвП 3х120</t>
  </si>
  <si>
    <t>АВВГ 4х70</t>
  </si>
  <si>
    <t>ж/б</t>
  </si>
  <si>
    <t>СИП-2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</si>
  <si>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</si>
  <si>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</si>
  <si>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Приложение  № 1.3</t>
  </si>
  <si>
    <t>Прогноз ввода/вывода объектов</t>
  </si>
  <si>
    <t>ОАО "РГЭС" г.Радужный на период 2014-2016 гг.</t>
  </si>
  <si>
    <t>__________________К.А. Добровольский</t>
  </si>
  <si>
    <t>Наименование проекта</t>
  </si>
  <si>
    <t>Вывод мощностей</t>
  </si>
  <si>
    <t>Первоначальная стоимость вводимых основных средств (без НДС)**</t>
  </si>
  <si>
    <t>Ввод основных средств</t>
  </si>
  <si>
    <t>План 2014 года</t>
  </si>
  <si>
    <t>План 2015</t>
  </si>
  <si>
    <t>План 2016</t>
  </si>
  <si>
    <t>I кв.</t>
  </si>
  <si>
    <t>II кв.</t>
  </si>
  <si>
    <t>III кв.</t>
  </si>
  <si>
    <t>VI кв.</t>
  </si>
  <si>
    <t>ПС 35/10кВ "Дачная"</t>
  </si>
  <si>
    <t>ПС 35/10/6кВ "ГТЭС-2"</t>
  </si>
  <si>
    <t>ВЛ-6кВ ф.6 ПС «Аэропорт»</t>
  </si>
  <si>
    <t xml:space="preserve">КЛ 2 мкр </t>
  </si>
  <si>
    <t>*</t>
  </si>
  <si>
    <t>Не заполняется сетевыми организациями.</t>
  </si>
  <si>
    <t>**</t>
  </si>
  <si>
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</t>
  </si>
  <si>
    <t>основных средств (без НДС) в результате технического перевооружения и реконструкции.</t>
  </si>
  <si>
    <t>***</t>
  </si>
  <si>
    <t>Иные натуральные количественные показатели объектов основных средств.</t>
  </si>
  <si>
    <t>Примечание: для сетевых объектов с разделением объектов на подстанции, воздушные линии и кабельные линии.</t>
  </si>
  <si>
    <t>Приложение  № 1.4</t>
  </si>
  <si>
    <t>Остаток стоимости на начало года**</t>
  </si>
  <si>
    <t>Осталось профинанси-ровать по результатам отчетного периода**</t>
  </si>
  <si>
    <t>Объем корректировки ****</t>
  </si>
  <si>
    <t>Объем ввода мощностей</t>
  </si>
  <si>
    <t>Причины корректировки</t>
  </si>
  <si>
    <t>всего</t>
  </si>
  <si>
    <t>1 кв.</t>
  </si>
  <si>
    <t>2 кв.</t>
  </si>
  <si>
    <t>3 кв.</t>
  </si>
  <si>
    <t>4 кв.</t>
  </si>
  <si>
    <t>%</t>
  </si>
  <si>
    <t>в том числе за счет</t>
  </si>
  <si>
    <t>План ***</t>
  </si>
  <si>
    <t>скорректированный объем****</t>
  </si>
  <si>
    <t>План</t>
  </si>
  <si>
    <t>скорректированный объем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</si>
  <si>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</si>
  <si>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</si>
  <si>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план***</t>
  </si>
  <si>
    <t>ВЛ 35кВ ф.ф. 2,5 ПС 110/35/10кВ «Промзона»</t>
  </si>
  <si>
    <t>Представление предложений о внесении изменений в перечень инвестиционных проектов на 2016 год, входящих в состав инвестиционной программы ОАО «РГЭС» г.Радужный на период 2014-2016 гг, млн. рублей с НДС</t>
  </si>
  <si>
    <t>Объем финансирования 2016г.  (отчетный год)</t>
  </si>
  <si>
    <t>МВт, Гкал/час, км, МВА</t>
  </si>
  <si>
    <t>необходимость проведения работ по результатам обследования объекта</t>
  </si>
  <si>
    <t>2КЛ-0,4 кВ от ТП-62 до ВРУ-0,4 кВ жилого дома №14</t>
  </si>
  <si>
    <t>уточнение стоимости материалов</t>
  </si>
  <si>
    <t>2КЛ-0,4 кВ от ТП-25 до ВРУ-0,4 кВ жилого дома №4</t>
  </si>
  <si>
    <t>изменение объема работ и уточнение стоимости материалов</t>
  </si>
  <si>
    <t>ПС 35/6кВ «Рославльская»</t>
  </si>
  <si>
    <t xml:space="preserve">Необходимость осуществления технологического присоединения заявителей </t>
  </si>
  <si>
    <t>Приложение  № 2.2</t>
  </si>
  <si>
    <t>Краткое описание инвестиционной программы ОАО "РГЭС" на период 2014-2016 гг.</t>
  </si>
  <si>
    <t>К.А. Добровольский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</si>
  <si>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</si>
  <si>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</si>
  <si>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</si>
  <si>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</si>
  <si>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</si>
  <si>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</si>
  <si>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</si>
  <si>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</si>
  <si>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</si>
  <si>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01.01.2014, %
**</t>
  </si>
  <si>
    <t>Стоимость объекта,  млн. рублей</t>
  </si>
  <si>
    <t>Остаточная 
стоимость 
объекта
на 01.01.2014г., 
млн. 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</si>
  <si>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</si>
  <si>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</si>
  <si>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</si>
  <si>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</si>
  <si>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</si>
  <si>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</si>
  <si>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</si>
  <si>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</si>
  <si>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</si>
  <si>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</si>
  <si>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</si>
  <si>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</si>
  <si>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</si>
  <si>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</si>
  <si>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</si>
  <si>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</si>
  <si>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</si>
  <si>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</si>
  <si>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</si>
  <si>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</si>
  <si>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</si>
  <si>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</si>
  <si>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</si>
  <si>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г.Радужный  ХМАО-Югра</t>
  </si>
  <si>
    <t>Нижневартовский р-он</t>
  </si>
  <si>
    <t>Энергосбережение и повышение энергетической эффективности системы электроснабжения  потребителей</t>
  </si>
  <si>
    <t>усиление свайного поля существующих опор</t>
  </si>
  <si>
    <t xml:space="preserve">Решение Думы города Радужный № 250 от 22.02.2012г. </t>
  </si>
  <si>
    <t>моральный износ опор линии электропередач</t>
  </si>
  <si>
    <t xml:space="preserve"> 8 мкр.</t>
  </si>
  <si>
    <t>Энергосбережение и повышение энергетической эффективности системы электроснабжения города</t>
  </si>
  <si>
    <t>перенос существующей линии электропередач из территории подпадающей под застройку</t>
  </si>
  <si>
    <t>г. Радужный,    2 мкр.</t>
  </si>
  <si>
    <t>снижение потерь в электрической сети, увеличение технико-экономических показателей</t>
  </si>
  <si>
    <t>выполнение обязательств по обеспечению бесперебойного и надежного электроснабжения  потребителей электрической энергии</t>
  </si>
  <si>
    <t>Единые нормы амортизационных отчислений на полное восстановление основных фондов от 22.10.1990г. № 1072</t>
  </si>
  <si>
    <t>г. Радужный,   2 мкр.</t>
  </si>
  <si>
    <t>г. Радужный,   7 мкр.</t>
  </si>
  <si>
    <t>г. Радужный</t>
  </si>
  <si>
    <t>увеличение технико-экономических показателей, возможность дистанционного наблюдения за состоянием объекта эл.сетевого хозяйства</t>
  </si>
  <si>
    <t>уменьшение времени срабатывания (откл.) аппаратов защиты в случаи возникновения не нормальных режимов работы в энергосистеме</t>
  </si>
  <si>
    <t>Приказ Минэнерго РФ от 19 июня 2003 г. № 229 “Об утв. Правил технической эксплуатации электрических станций и сетей РФ” (Глава 1.1, 1.6)</t>
  </si>
  <si>
    <t>г. Радужный,   1 мкр.</t>
  </si>
  <si>
    <t>г. Радужный,   5 мкр.</t>
  </si>
  <si>
    <t xml:space="preserve">недопущение ограничения потребления электрической энергии, надлежащее исполнение своих обязательств перед потребителями </t>
  </si>
  <si>
    <t>удовлетворение спроса на электрическую энергию потребителей, создание оптимальной схемы электроснабжения</t>
  </si>
  <si>
    <t>Гражданский кодекс РФ (пункт 3, ст.541, глава 30), Федеральный закон от 26 марта 2003г. № 35-ФЗ «Об электроэнергетике» (статья 6, глава 2)</t>
  </si>
  <si>
    <t>г. Радужный,   6 мкр.</t>
  </si>
  <si>
    <t>г. Радужный,  мкр. Южный</t>
  </si>
  <si>
    <t xml:space="preserve"> увеличение технико-экономических показателей</t>
  </si>
  <si>
    <t>преодоление тенденции старения силового оборудования, использование нового оборудования с передовыми технологиями</t>
  </si>
  <si>
    <t>повышение надежности электроснабжения, снижение потерь электрической энергии</t>
  </si>
  <si>
    <t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</t>
  </si>
  <si>
    <t xml:space="preserve">г. Радужный, </t>
  </si>
  <si>
    <t>г. Радужный,    3 мкр.</t>
  </si>
  <si>
    <t xml:space="preserve">увеличение технико-экономических показателей, возможность дистанционного наблюдения за состоянием объекта эл.сетевого хозяйства, уменьшение времени поиска поврежденного участка электрической сети </t>
  </si>
  <si>
    <t>г. Радужный,    7 мкр.</t>
  </si>
  <si>
    <t>г. Радужный,    1 мкр.</t>
  </si>
  <si>
    <t>увеличение технико-экономических показателей</t>
  </si>
  <si>
    <t>г. Радужный,    4 мкр.</t>
  </si>
  <si>
    <t>г. Радужный,    6 мкр.</t>
  </si>
  <si>
    <t>г. Радужный,    8 мкр.</t>
  </si>
  <si>
    <t>г. Радужный,    9 мкр.</t>
  </si>
  <si>
    <t>г. Радужный,    10 мкр.</t>
  </si>
  <si>
    <t>г. Радужный, северо-западная коммунальная зона</t>
  </si>
  <si>
    <t xml:space="preserve">Энергосбережение и повышение энергетической эффективности системы электроснабжения </t>
  </si>
  <si>
    <t>г. Радужный, 6 мкр.</t>
  </si>
  <si>
    <t>г. Радужный, 10 мкр.</t>
  </si>
  <si>
    <t>г. Радужный, мкр. Южный</t>
  </si>
  <si>
    <t xml:space="preserve">обеспечение электрическими сетями новых потребителей </t>
  </si>
  <si>
    <t>создание технической возможности подключения потребителей к электрическим сетям</t>
  </si>
  <si>
    <t>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луцам, к электриче</t>
  </si>
  <si>
    <t>г. Радужный,   8 мкр.</t>
  </si>
  <si>
    <t>г. Радужный,   6,8 мкр.</t>
  </si>
  <si>
    <t>г. Радужный, мкр. 7А</t>
  </si>
  <si>
    <t>г. Радужный,   10 мкр.</t>
  </si>
  <si>
    <t>г. Радужный,   4 мкр.</t>
  </si>
  <si>
    <t>г. Радужный, СОО "Буровик"</t>
  </si>
  <si>
    <t xml:space="preserve">Создание комфортных условий для гражданам занимающихся садовническими,  огородническими или дачн. хозяйством </t>
  </si>
  <si>
    <t>Письмо главы администрации города Радужный №01/19-0252 от 25.11.2011г.</t>
  </si>
  <si>
    <t>г. Радужный,  мкр.Южный</t>
  </si>
  <si>
    <t>создание технической возможности обеспечения потребителей электроэнергией</t>
  </si>
  <si>
    <t>обновление устаревшего парка спецтранспорта</t>
  </si>
  <si>
    <t>подтверждается отчетом по основным средствам ОАО "РГЭС"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</si>
  <si>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</si>
  <si>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</si>
  <si>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</si>
  <si>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</si>
  <si>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Приложение  № 3.1</t>
  </si>
  <si>
    <t>к приказу Минэнерго России</t>
  </si>
  <si>
    <t>от «___»________2010 г. №____</t>
  </si>
  <si>
    <t>Укрупненный сетевой график выполнения инвестиционной программы</t>
  </si>
  <si>
    <t>ОАО "РГЭС" г.Радужный на период 2014-2016гг.</t>
  </si>
  <si>
    <t xml:space="preserve">                         Добровольский К.А.</t>
  </si>
  <si>
    <t>«___»________ 20__ года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</si>
  <si>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ВЛ-35кВ ф.ф. 2,5 ПС 110/35/10кВ «Промзона» </t>
    </r>
  </si>
  <si>
    <t>№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</si>
  <si>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</si>
  <si>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</si>
  <si>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</si>
  <si>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</si>
  <si>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</si>
  <si>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</si>
  <si>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Предпроектный и проектный этап</t>
  </si>
  <si>
    <t>Получение заявки на ТП</t>
  </si>
  <si>
    <t>не требуется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</si>
  <si>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</si>
  <si>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</si>
  <si>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</si>
  <si>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</si>
  <si>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</si>
  <si>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</si>
  <si>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</si>
  <si>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</si>
  <si>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</si>
  <si>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01.07.2014г.</t>
  </si>
  <si>
    <t>31.03.2016г.</t>
  </si>
  <si>
    <t>Получение правоустанавливающих документов для выделения земельного участка под строительство</t>
  </si>
  <si>
    <t>2.3.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</si>
  <si>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</si>
  <si>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</si>
  <si>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</si>
  <si>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</si>
  <si>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</si>
  <si>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25.12.2015г.</t>
  </si>
  <si>
    <t>Монтаж основного оборудования</t>
  </si>
  <si>
    <t>01.08.2014г.</t>
  </si>
  <si>
    <t>15.02.2016г.</t>
  </si>
  <si>
    <t>3.4.</t>
  </si>
  <si>
    <t>Пусконаладочные работы</t>
  </si>
  <si>
    <t>21.08.2014г.</t>
  </si>
  <si>
    <t>25.03.2016г.</t>
  </si>
  <si>
    <t>3.5.</t>
  </si>
  <si>
    <t>Завершение строительства</t>
  </si>
  <si>
    <t>26.03.2016г.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</si>
  <si>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</si>
  <si>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</si>
  <si>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</si>
  <si>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</si>
  <si>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</si>
  <si>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</si>
  <si>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</si>
  <si>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</si>
  <si>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>Ввод в эксплуатацию объекта сетевого строительства</t>
  </si>
  <si>
    <t>* - заполняется в соответствии с приложением 3.2</t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</si>
  <si>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ВЛ-35кВ ф.ф. 3,6 ПС 110/35/10кВ «Промзона» </t>
    </r>
  </si>
  <si>
    <t>30.06.2016г.</t>
  </si>
  <si>
    <t>30.04.2016г.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</si>
  <si>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ВЛ-35кВ ф.ф. 1,3 ПС 110/35/10кВ «Радужная» </t>
    </r>
  </si>
  <si>
    <t>30.09.2014г.</t>
  </si>
  <si>
    <t>31.07.2014г.</t>
  </si>
  <si>
    <t>25.09.2014г.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</si>
  <si>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ф.211 ПС 110/35/10кВ "Промзона"</t>
    </r>
  </si>
  <si>
    <t>Сетевое строительство (реконструкция)  и пусконаладочные работы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</si>
  <si>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ВЛ-6кВ ф.6 ПС «Аэропорт» </t>
    </r>
  </si>
  <si>
    <t>10.01.2014г.</t>
  </si>
  <si>
    <t>31.03.2014г.</t>
  </si>
  <si>
    <t>22.01.2014г.</t>
  </si>
  <si>
    <t>23.01.2014г.</t>
  </si>
  <si>
    <t>28.02.2014г.</t>
  </si>
  <si>
    <t>01.03.2014г.</t>
  </si>
  <si>
    <t>21.03.2014г.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</si>
  <si>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ВЛ-6кВ ПС «Кирпичная» </t>
    </r>
  </si>
  <si>
    <r>
      <t xml:space="preserve">Наименование инвестиционного объекта  </t>
    </r>
    <r>
      <rPr>
        <u val="single"/>
        <sz val="12"/>
        <rFont val="Times New Roman"/>
        <family val="1"/>
      </rPr>
      <t xml:space="preserve">ВЛ-6/10кВ «ПС Промзона, ПС Варьеган, ПС Поселок, ПС Котельная-3, ПС Котельная-4» </t>
    </r>
  </si>
  <si>
    <t>01.04.2014г.</t>
  </si>
  <si>
    <t>30.06.2014г.</t>
  </si>
  <si>
    <t>25.04.2014г.</t>
  </si>
  <si>
    <t>26.04.2014г.</t>
  </si>
  <si>
    <t>26.05.2014г.</t>
  </si>
  <si>
    <t>27.05.2014г.</t>
  </si>
  <si>
    <t>15.06.2014г.</t>
  </si>
  <si>
    <t>16.06.2014г.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</si>
  <si>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ВЛ-35кВ ПС «Радужная», ПС «КНС-2»</t>
    </r>
  </si>
  <si>
    <t>25.01.2014г.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</si>
  <si>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ПС «Город-3» (КЛ-10кВ ф.4,14 ПС 35/10кВ "Город-3")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</si>
  <si>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ВЛ-35кВ ф.ф. №№1,3 ПС «Варьеган»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</si>
  <si>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ВЛ-10кВ Ф-8 ПС «Дачная» </t>
    </r>
  </si>
  <si>
    <t>20.01.2014г.</t>
  </si>
  <si>
    <t>21.01.2014г.</t>
  </si>
  <si>
    <t>19.03.2014г.</t>
  </si>
  <si>
    <t>20.03.2014г.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</si>
  <si>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ВЛ-6кВ ф.6 ПС «Причал»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</si>
  <si>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ВЛ-6кВ Ф-4 ПС «Аэропорт»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</si>
  <si>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ВЛ-10кВ от ПС 35/10кВ «Город-3» до опоры №9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</si>
  <si>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КЛ-0,4кВ от ТП-72 до ВРУ 0,4кВ жилого дома №26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</si>
  <si>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 7 мкр (2КЛ-0,4кВ от ТП-72 до ВРУ-0,4кВ ж.д.16)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</si>
  <si>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 6кВ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</si>
  <si>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 2 мкр (4КЛ-0,4кВ от ТП-21 до ВРУ-0,4кВ ж.д.2 и СКБ)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</si>
  <si>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ТП-11</t>
    </r>
  </si>
  <si>
    <t>01.10.2014г.</t>
  </si>
  <si>
    <t>25.12.2014г.</t>
  </si>
  <si>
    <t>25.10.2014г.</t>
  </si>
  <si>
    <t>26.10.2014г.</t>
  </si>
  <si>
    <t>15.11.2014г.</t>
  </si>
  <si>
    <t>16.11.2014г.</t>
  </si>
  <si>
    <t>05.11.2014г.</t>
  </si>
  <si>
    <t>06.12.2014г.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</si>
  <si>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</si>
  <si>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ТП-13</t>
    </r>
  </si>
  <si>
    <t>20.12.2014г.</t>
  </si>
  <si>
    <t>01.02.2015г.</t>
  </si>
  <si>
    <t>01.03.2015г.</t>
  </si>
  <si>
    <t>31.03.2015г.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</si>
  <si>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ТП-14 </t>
    </r>
  </si>
  <si>
    <t>30.09.2015г.</t>
  </si>
  <si>
    <t>25.06.2015г.</t>
  </si>
  <si>
    <t>31.07.2015г.</t>
  </si>
  <si>
    <t>31.08.2015г.</t>
  </si>
  <si>
    <t>01.09.2015г.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</si>
  <si>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</si>
  <si>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</si>
  <si>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</si>
  <si>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</si>
  <si>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</si>
  <si>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ТП-26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</si>
  <si>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ТП-31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</si>
  <si>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ТП-32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</si>
  <si>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ТП-33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</si>
  <si>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ТП-41 </t>
    </r>
  </si>
  <si>
    <t>01.11.2015г.</t>
  </si>
  <si>
    <t>05.12.2015г.</t>
  </si>
  <si>
    <t>06.12.2015г.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</si>
  <si>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ТП-42 </t>
    </r>
  </si>
  <si>
    <t>30.09.2016г.</t>
  </si>
  <si>
    <t>31.07.2016г.</t>
  </si>
  <si>
    <t>21.08.2016г.</t>
  </si>
  <si>
    <t>25.09.2016г.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</si>
  <si>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ТП-51</t>
    </r>
  </si>
  <si>
    <t>01.12.2015г.</t>
  </si>
  <si>
    <t>02.03.2015г.</t>
  </si>
  <si>
    <t>25.03.2015г.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</si>
  <si>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</si>
  <si>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</si>
  <si>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ТП-63</t>
    </r>
  </si>
  <si>
    <t>25.12.2016г.</t>
  </si>
  <si>
    <t>01.10.2016г.</t>
  </si>
  <si>
    <t>15.11.2016г.</t>
  </si>
  <si>
    <t>05.11.2016г.</t>
  </si>
  <si>
    <t>06.12.2016г.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</si>
  <si>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</si>
  <si>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ТП-64А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</si>
  <si>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</si>
  <si>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ТП-73</t>
    </r>
  </si>
  <si>
    <t>30.06.2015г.</t>
  </si>
  <si>
    <t>30.04.2015г.</t>
  </si>
  <si>
    <t>25.05.2015г.</t>
  </si>
  <si>
    <t>26.05.2015г.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</si>
  <si>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ТП-75</t>
    </r>
  </si>
  <si>
    <t>31.05.2016г.</t>
  </si>
  <si>
    <t>01.06.2016г.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</si>
  <si>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ТП-83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</si>
  <si>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ТП-92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</si>
  <si>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ТП-93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</si>
  <si>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ТП-115А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</si>
  <si>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КТПН-16</t>
    </r>
  </si>
  <si>
    <t>01.01.2014г.</t>
  </si>
  <si>
    <t>31.01.2014г.</t>
  </si>
  <si>
    <t>01.02.2014г.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</si>
  <si>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</si>
  <si>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КТПН-33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</si>
  <si>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КТПН-32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</si>
  <si>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КТПН-36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</si>
  <si>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КТПН-62А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</si>
  <si>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КТПН-69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</si>
  <si>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КТПН-107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</si>
  <si>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</si>
  <si>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КТПН-129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</si>
  <si>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КТПН-131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</si>
  <si>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КТПН-135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</si>
  <si>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КТПН-136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</si>
  <si>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КТПН-155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</si>
  <si>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КТПН-157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</si>
  <si>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КТПН-161</t>
    </r>
  </si>
  <si>
    <t>25.04.2015г.</t>
  </si>
  <si>
    <t>15.06.2015г.</t>
  </si>
  <si>
    <t>16.06.2015г.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</si>
  <si>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КТПН-1101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</si>
  <si>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</si>
  <si>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КТПН-2202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</si>
  <si>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КТПН-2304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</si>
  <si>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КТП-113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</si>
  <si>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КТП-140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</si>
  <si>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«Поселок»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</si>
  <si>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«Новоаганская»</t>
    </r>
  </si>
  <si>
    <t>31.08.2016г.</t>
  </si>
  <si>
    <t>01.09.2016г.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</si>
  <si>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«Лесная»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</si>
  <si>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«Котельная-4»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</si>
  <si>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«Котельная-3»</t>
    </r>
  </si>
  <si>
    <t>15.10.2016г.</t>
  </si>
  <si>
    <t>05.12.2016г.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</si>
  <si>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«Котельная-2»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</si>
  <si>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35/10кВ «Город-1»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</si>
  <si>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«Город-2»</t>
    </r>
  </si>
  <si>
    <t>15.09.2016г.</t>
  </si>
  <si>
    <t>28.07.2016г.</t>
  </si>
  <si>
    <t>22.08.2016г.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</si>
  <si>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ПС 35/6кВ «Рославльская», в.т.ч. ПС 35/6кВ «БКНС»</t>
    </r>
  </si>
  <si>
    <t>25.06.2016г.</t>
  </si>
  <si>
    <t>30.05.2016г.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</si>
  <si>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КРУН ПС 220/110/35/6 кВ Варьеган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</si>
  <si>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</si>
  <si>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РП-6</t>
    </r>
  </si>
  <si>
    <t>31.12.2014г.</t>
  </si>
  <si>
    <t>31.01.2015г.</t>
  </si>
  <si>
    <t>28.02.2015г.</t>
  </si>
  <si>
    <t>10.01.2015г.</t>
  </si>
  <si>
    <t>10.02.2015г.</t>
  </si>
  <si>
    <t>10.03.2015г.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</si>
  <si>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ВЛ 6кВ ф.208 ПС 35/6кВ «Город-2»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</si>
  <si>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ВЛ 10кВ ф.4 ПС 35/10кВ «Котельная-3»</t>
    </r>
  </si>
  <si>
    <t>01.04.2015г.</t>
  </si>
  <si>
    <t>01.05.2015г.</t>
  </si>
  <si>
    <t>20.06.2015г.</t>
  </si>
  <si>
    <r>
      <t xml:space="preserve">Наименование инвестиционного объекта </t>
    </r>
    <r>
      <rPr>
        <u val="single"/>
        <sz val="11"/>
        <rFont val="Times New Roman"/>
        <family val="1"/>
      </rPr>
      <t xml:space="preserve">ВЛ 6кВ ф.ф.104,204 ПС «Город-2», ВЛ 10кВ ф.ф.8,18 ПС «Город-3»  </t>
    </r>
  </si>
  <si>
    <t>10.06.2015г.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</si>
  <si>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4 КЛ 0,4кВ от ТП-25 до ВРУ 0,4кВ жилого дома №23  </t>
    </r>
  </si>
  <si>
    <t>01.07.2015г.</t>
  </si>
  <si>
    <t>15.07.2015г.</t>
  </si>
  <si>
    <t>10.09.2015г.</t>
  </si>
  <si>
    <t>20.09.2015г.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</si>
  <si>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 КЛ 0,4кВ от ТП-25 до ВРУ 0,4кВ СКБ жилого дома №23 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</si>
  <si>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4 КЛ-0,4кВ от ТП-31 до ВРУ 0,4кВ жилого дома № 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</si>
  <si>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ТП-53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</si>
  <si>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ТП-71</t>
    </r>
  </si>
  <si>
    <t>30.10.2016г.</t>
  </si>
  <si>
    <t>30.11.2016г.</t>
  </si>
  <si>
    <t>01.12.2016г.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</si>
  <si>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ТП-74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</si>
  <si>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ТП-94 </t>
    </r>
  </si>
  <si>
    <t>01.10.2015г.</t>
  </si>
  <si>
    <t>31.12.2015г.</t>
  </si>
  <si>
    <t>21.10.2015г.</t>
  </si>
  <si>
    <t>26.11.2015г.</t>
  </si>
  <si>
    <t>21.12.2015г.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</si>
  <si>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ТП-1001 </t>
    </r>
  </si>
  <si>
    <t>20.03.2015г.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</si>
  <si>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КТПН-25А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</si>
  <si>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КТПН-41 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</si>
  <si>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ПС 10/6кВ «Перевертыш» </t>
    </r>
  </si>
  <si>
    <t>01.01.2015г.</t>
  </si>
  <si>
    <t>15.03.2015г.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</si>
  <si>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 6кВ от ТП-13 до ТП-21</t>
    </r>
  </si>
  <si>
    <t>01.04.2016г.</t>
  </si>
  <si>
    <t>23.04.2016г.</t>
  </si>
  <si>
    <t>24.06.2016г.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</si>
  <si>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2КЛ 6кВ от ТП-42 до ТП-51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</si>
  <si>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 КЛ 0,4кВ от РП-1 до ТП-32 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</si>
  <si>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2КЛ-0,4 кВ от ТП-62 до жилого дома №14</t>
    </r>
  </si>
  <si>
    <t>01.01.2016г.</t>
  </si>
  <si>
    <t>31.12.2016г.</t>
  </si>
  <si>
    <t>01.07.2016г.</t>
  </si>
  <si>
    <t>30.07.2016г.</t>
  </si>
  <si>
    <t>01.08.2016г.</t>
  </si>
  <si>
    <t>20.08.2016г.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</si>
  <si>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2КЛ-0,4 кВ от ТП-25 до жилого дома №4 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</si>
  <si>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2КЛ-0,4 кВ от ТП-23 до ВРУ-0,4 кВ жилого дома №11 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</si>
  <si>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ТП-1005  </t>
    </r>
  </si>
  <si>
    <t>25.10.2016г.</t>
  </si>
  <si>
    <t>26.10.2016г.</t>
  </si>
  <si>
    <t>27.11.2016г.</t>
  </si>
  <si>
    <t>28.11.2016г.</t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</si>
  <si>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КТПН-76</t>
    </r>
  </si>
  <si>
    <t>01.02.2016г.</t>
  </si>
  <si>
    <t>01.05.2016г.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</si>
  <si>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КТПН-102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</si>
  <si>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</si>
  <si>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КТПН-116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</si>
  <si>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ПС 35/10кВ «Город-3» </t>
    </r>
  </si>
  <si>
    <t>15.03.2016г.</t>
  </si>
  <si>
    <t>30.03.2016г.</t>
  </si>
  <si>
    <t>20.04.2016г.</t>
  </si>
  <si>
    <t>22.04.2016г.</t>
  </si>
  <si>
    <t>15.05.2016г.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</si>
  <si>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РП-4  </t>
    </r>
  </si>
  <si>
    <t>15.01.2016г.</t>
  </si>
  <si>
    <t>16.01.2016г.</t>
  </si>
  <si>
    <t>05.02.2016г.</t>
  </si>
  <si>
    <t>06.02.2016г.</t>
  </si>
  <si>
    <t>28.02.2016г.</t>
  </si>
  <si>
    <t>01.03.2016г.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</si>
  <si>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КЛ-10кВ от ТП-63 до ТП-83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</si>
  <si>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КЛ-0,4кВ от ТП-78 до Автостоянки в мкр.7а</t>
    </r>
  </si>
  <si>
    <t>10.04.2014г.</t>
  </si>
  <si>
    <t>30.04.2014г.</t>
  </si>
  <si>
    <t>01.05.2014г.</t>
  </si>
  <si>
    <t>31.05.2014г.</t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</si>
  <si>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2КЛ-10 кВ от ТП-1004 — ТП-1005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</si>
  <si>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КЛ-10кВ от оп.6 ф.ф. 5, 15 ВЛ-10кВ ПС «Город-3» до ТП-1005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</si>
  <si>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КЛ-0,4 кВ от КТПН-77 до ж/д №12.9-12.11Тех.Присоед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</si>
  <si>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2КЛ 0,4 кВ от ТП-12 до ВРУ 0,4кВ жилого дома №41</t>
    </r>
  </si>
  <si>
    <t>30.03.2015г.</t>
  </si>
  <si>
    <t>21.04.2015г.</t>
  </si>
  <si>
    <t>22.04.2015г.</t>
  </si>
  <si>
    <t>07.05.2015г.</t>
  </si>
  <si>
    <t>31.05.2015г.</t>
  </si>
  <si>
    <t>01.06.2015г.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</si>
  <si>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 0,4кВ от ТП-25  до ВРУ 0,4кВ жилого дома №3</t>
    </r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</si>
  <si>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>2 КЛ 0,4кВ от ТП-42 до ВРУ 0,4кВ жилого дома №16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</si>
  <si>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4 КЛ-0,4кВ от РП-1 до ВРУ 0,4кВ жилого дома №30 </t>
    </r>
  </si>
  <si>
    <t>12.07.2015г.</t>
  </si>
  <si>
    <t>14.07.2015г.</t>
  </si>
  <si>
    <t>26.07.2015г.</t>
  </si>
  <si>
    <t>27.07.2015г.</t>
  </si>
  <si>
    <t>01.08.2015г.</t>
  </si>
  <si>
    <r>
      <t xml:space="preserve">Наименование инвестиционного объекта </t>
    </r>
    <r>
      <rPr>
        <u val="single"/>
        <sz val="12"/>
        <rFont val="Times New Roman"/>
        <family val="1"/>
      </rPr>
      <t xml:space="preserve">2КЛ 0,4кВ от РП-1 до ВРУ 0,4кВ СКБ жилого дома №30 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</si>
  <si>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ВЛИ-0,4кВ от ТП-136 до СОО «Буровик» </t>
    </r>
  </si>
  <si>
    <r>
      <t>Наименование инвестиционного объекта</t>
    </r>
    <r>
      <rPr>
        <u val="single"/>
        <sz val="12"/>
        <rFont val="Times New Roman"/>
        <family val="1"/>
      </rPr>
      <t xml:space="preserve"> ВЛИ-0,4кВ от ТП-157 до СОО «Буровик»  </t>
    </r>
  </si>
  <si>
    <t>01.09.2014г.</t>
  </si>
  <si>
    <t>31.10.2014г.</t>
  </si>
  <si>
    <t>01.11.2014г.</t>
  </si>
  <si>
    <t>21.11.2014г.</t>
  </si>
  <si>
    <t>22.11.2014г.</t>
  </si>
  <si>
    <t>30.11.2014г.</t>
  </si>
  <si>
    <t>01.12.2014г.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</si>
</sst>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 &quot;"/>
    <numFmt numFmtId="165" formatCode="#,##0.0000"/>
    <numFmt numFmtId="166" formatCode="0.000"/>
    <numFmt numFmtId="167" formatCode="#,##0.000"/>
    <numFmt numFmtId="168" formatCode="0.0"/>
    <numFmt numFmtId="169" formatCode="#,##0.00&quot;   &quot;"/>
    <numFmt numFmtId="170" formatCode="#,##0.00;\-#,##0.00"/>
    <numFmt numFmtId="171" formatCode="0.0000"/>
    <numFmt numFmtId="172" formatCode="#,##0.0&quot;   &quot;"/>
  </numFmts>
  <fonts count="28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49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49" fontId="4" fillId="2" borderId="7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2" fontId="8" fillId="2" borderId="6" xfId="17" applyNumberFormat="1" applyFont="1" applyFill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horizontal="center" vertical="center"/>
      <protection/>
    </xf>
    <xf numFmtId="4" fontId="8" fillId="2" borderId="6" xfId="20" applyNumberFormat="1" applyFont="1" applyFill="1" applyBorder="1" applyAlignment="1">
      <alignment horizontal="center" vertical="center"/>
      <protection/>
    </xf>
    <xf numFmtId="4" fontId="0" fillId="2" borderId="9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7" fontId="0" fillId="2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2" fontId="8" fillId="2" borderId="1" xfId="17" applyNumberFormat="1" applyFont="1" applyFill="1" applyBorder="1" applyAlignment="1">
      <alignment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20" applyNumberFormat="1" applyFont="1" applyFill="1" applyBorder="1" applyAlignment="1">
      <alignment horizontal="center" vertical="center"/>
      <protection/>
    </xf>
    <xf numFmtId="4" fontId="0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2" fontId="8" fillId="2" borderId="1" xfId="19" applyNumberFormat="1" applyFont="1" applyFill="1" applyBorder="1" applyAlignment="1">
      <alignment vertical="center" wrapText="1"/>
      <protection/>
    </xf>
    <xf numFmtId="0" fontId="8" fillId="2" borderId="1" xfId="0" applyNumberFormat="1" applyFont="1" applyFill="1" applyBorder="1" applyAlignment="1">
      <alignment vertical="center" wrapText="1"/>
    </xf>
    <xf numFmtId="2" fontId="8" fillId="2" borderId="1" xfId="20" applyNumberFormat="1" applyFont="1" applyFill="1" applyBorder="1" applyAlignment="1">
      <alignment horizontal="center" vertical="center"/>
      <protection/>
    </xf>
    <xf numFmtId="2" fontId="0" fillId="2" borderId="1" xfId="0" applyNumberFormat="1" applyFont="1" applyFill="1" applyBorder="1" applyAlignment="1">
      <alignment horizontal="left" vertical="center" wrapText="1"/>
    </xf>
    <xf numFmtId="2" fontId="8" fillId="2" borderId="1" xfId="17" applyNumberFormat="1" applyFont="1" applyFill="1" applyBorder="1" applyAlignment="1">
      <alignment horizontal="left" vertical="center" wrapText="1"/>
      <protection/>
    </xf>
    <xf numFmtId="0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68" fontId="8" fillId="2" borderId="1" xfId="20" applyNumberFormat="1" applyFont="1" applyFill="1" applyBorder="1" applyAlignment="1">
      <alignment horizontal="center" vertical="center"/>
      <protection/>
    </xf>
    <xf numFmtId="1" fontId="8" fillId="2" borderId="1" xfId="20" applyNumberFormat="1" applyFont="1" applyFill="1" applyBorder="1" applyAlignment="1">
      <alignment horizontal="center" vertical="center"/>
      <protection/>
    </xf>
    <xf numFmtId="2" fontId="8" fillId="2" borderId="1" xfId="19" applyNumberFormat="1" applyFont="1" applyFill="1" applyBorder="1" applyAlignment="1">
      <alignment horizontal="left" wrapText="1"/>
      <protection/>
    </xf>
    <xf numFmtId="2" fontId="0" fillId="2" borderId="1" xfId="19" applyNumberFormat="1" applyFont="1" applyFill="1" applyBorder="1" applyAlignment="1">
      <alignment horizontal="left" vertical="top" wrapText="1"/>
      <protection/>
    </xf>
    <xf numFmtId="2" fontId="8" fillId="2" borderId="1" xfId="0" applyNumberFormat="1" applyFont="1" applyFill="1" applyBorder="1" applyAlignment="1">
      <alignment horizontal="left" vertical="center" wrapText="1"/>
    </xf>
    <xf numFmtId="2" fontId="8" fillId="2" borderId="1" xfId="19" applyNumberFormat="1" applyFont="1" applyFill="1" applyBorder="1" applyAlignment="1">
      <alignment horizontal="left" vertical="top" wrapText="1"/>
      <protection/>
    </xf>
    <xf numFmtId="2" fontId="8" fillId="2" borderId="1" xfId="19" applyNumberFormat="1" applyFont="1" applyFill="1" applyBorder="1" applyAlignment="1">
      <alignment horizontal="left"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2" fontId="8" fillId="2" borderId="1" xfId="19" applyNumberFormat="1" applyFont="1" applyFill="1" applyBorder="1" applyAlignment="1">
      <alignment horizontal="justify"/>
      <protection/>
    </xf>
    <xf numFmtId="2" fontId="8" fillId="2" borderId="1" xfId="0" applyNumberFormat="1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vertical="center" wrapText="1"/>
    </xf>
    <xf numFmtId="0" fontId="8" fillId="3" borderId="1" xfId="20" applyFont="1" applyFill="1" applyBorder="1" applyAlignment="1">
      <alignment horizontal="center" vertical="center"/>
      <protection/>
    </xf>
    <xf numFmtId="3" fontId="0" fillId="3" borderId="1" xfId="0" applyNumberFormat="1" applyFont="1" applyFill="1" applyBorder="1" applyAlignment="1">
      <alignment horizontal="center" vertical="center" wrapText="1"/>
    </xf>
    <xf numFmtId="4" fontId="8" fillId="3" borderId="1" xfId="20" applyNumberFormat="1" applyFont="1" applyFill="1" applyBorder="1" applyAlignment="1">
      <alignment horizontal="center" vertical="center"/>
      <protection/>
    </xf>
    <xf numFmtId="4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20" applyFont="1" applyFill="1" applyBorder="1" applyAlignment="1">
      <alignment horizontal="center" vertical="center"/>
      <protection/>
    </xf>
    <xf numFmtId="3" fontId="0" fillId="2" borderId="1" xfId="0" applyNumberFormat="1" applyFont="1" applyFill="1" applyBorder="1" applyAlignment="1">
      <alignment horizontal="center" vertical="center" wrapText="1"/>
    </xf>
    <xf numFmtId="4" fontId="8" fillId="0" borderId="1" xfId="20" applyNumberFormat="1" applyFont="1" applyFill="1" applyBorder="1" applyAlignment="1">
      <alignment horizontal="center" vertical="center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0" fillId="2" borderId="1" xfId="19" applyNumberFormat="1" applyFont="1" applyFill="1" applyBorder="1" applyAlignment="1">
      <alignment horizontal="left" vertical="center" wrapText="1"/>
      <protection/>
    </xf>
    <xf numFmtId="49" fontId="8" fillId="0" borderId="7" xfId="20" applyNumberFormat="1" applyFont="1" applyFill="1" applyBorder="1" applyAlignment="1">
      <alignment horizontal="center" vertical="center" wrapText="1"/>
      <protection/>
    </xf>
    <xf numFmtId="167" fontId="0" fillId="2" borderId="0" xfId="0" applyNumberFormat="1" applyFont="1" applyFill="1" applyAlignment="1">
      <alignment/>
    </xf>
    <xf numFmtId="2" fontId="0" fillId="2" borderId="1" xfId="20" applyNumberFormat="1" applyFont="1" applyFill="1" applyBorder="1" applyAlignment="1" applyProtection="1">
      <alignment horizontal="left" vertical="center" wrapText="1"/>
      <protection locked="0"/>
    </xf>
    <xf numFmtId="2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49" fontId="9" fillId="3" borderId="7" xfId="20" applyNumberFormat="1" applyFont="1" applyFill="1" applyBorder="1" applyAlignment="1">
      <alignment horizontal="center" vertical="center" wrapText="1"/>
      <protection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20" applyFont="1" applyFill="1" applyBorder="1" applyAlignment="1">
      <alignment horizontal="center" vertical="center"/>
      <protection/>
    </xf>
    <xf numFmtId="4" fontId="9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2" fontId="8" fillId="0" borderId="1" xfId="20" applyNumberFormat="1" applyFont="1" applyFill="1" applyBorder="1" applyAlignment="1">
      <alignment horizontal="center" vertical="center"/>
      <protection/>
    </xf>
    <xf numFmtId="2" fontId="9" fillId="3" borderId="1" xfId="20" applyNumberFormat="1" applyFont="1" applyFill="1" applyBorder="1" applyAlignment="1">
      <alignment horizontal="center" vertical="center"/>
      <protection/>
    </xf>
    <xf numFmtId="4" fontId="9" fillId="3" borderId="1" xfId="20" applyNumberFormat="1" applyFont="1" applyFill="1" applyBorder="1" applyAlignment="1">
      <alignment horizontal="center" vertical="center"/>
      <protection/>
    </xf>
    <xf numFmtId="49" fontId="8" fillId="2" borderId="7" xfId="20" applyNumberFormat="1" applyFont="1" applyFill="1" applyBorder="1" applyAlignment="1">
      <alignment horizontal="center" vertical="center" wrapText="1"/>
      <protection/>
    </xf>
    <xf numFmtId="3" fontId="8" fillId="2" borderId="1" xfId="0" applyNumberFormat="1" applyFont="1" applyFill="1" applyBorder="1" applyAlignment="1">
      <alignment horizontal="center" vertical="center"/>
    </xf>
    <xf numFmtId="49" fontId="9" fillId="2" borderId="7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20" applyFont="1" applyFill="1" applyBorder="1" applyAlignment="1">
      <alignment horizontal="center" vertical="center"/>
      <protection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2" fontId="1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49" fontId="11" fillId="3" borderId="13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/>
    </xf>
    <xf numFmtId="0" fontId="11" fillId="3" borderId="14" xfId="0" applyFont="1" applyFill="1" applyBorder="1" applyAlignment="1">
      <alignment wrapText="1"/>
    </xf>
    <xf numFmtId="4" fontId="11" fillId="3" borderId="14" xfId="0" applyNumberFormat="1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2" borderId="6" xfId="20" applyFont="1" applyFill="1" applyBorder="1" applyAlignment="1">
      <alignment horizontal="center" vertical="center"/>
      <protection/>
    </xf>
    <xf numFmtId="0" fontId="13" fillId="2" borderId="6" xfId="0" applyFont="1" applyFill="1" applyBorder="1" applyAlignment="1">
      <alignment horizontal="center" vertical="center" wrapText="1"/>
    </xf>
    <xf numFmtId="4" fontId="13" fillId="2" borderId="6" xfId="20" applyNumberFormat="1" applyFont="1" applyFill="1" applyBorder="1" applyAlignment="1">
      <alignment horizontal="center" vertical="center"/>
      <protection/>
    </xf>
    <xf numFmtId="4" fontId="7" fillId="2" borderId="6" xfId="0" applyNumberFormat="1" applyFont="1" applyFill="1" applyBorder="1" applyAlignment="1">
      <alignment horizontal="center" vertical="center" wrapText="1"/>
    </xf>
    <xf numFmtId="170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13" fillId="2" borderId="1" xfId="17" applyNumberFormat="1" applyFont="1" applyFill="1" applyBorder="1" applyAlignment="1">
      <alignment vertical="center" wrapText="1"/>
      <protection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20" applyFont="1" applyFill="1" applyBorder="1" applyAlignment="1">
      <alignment horizontal="center" vertical="center"/>
      <protection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20" applyNumberFormat="1" applyFont="1" applyFill="1" applyBorder="1" applyAlignment="1">
      <alignment horizontal="center" vertical="center"/>
      <protection/>
    </xf>
    <xf numFmtId="4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8" fontId="13" fillId="2" borderId="1" xfId="20" applyNumberFormat="1" applyFont="1" applyFill="1" applyBorder="1" applyAlignment="1">
      <alignment horizontal="center" vertical="center"/>
      <protection/>
    </xf>
    <xf numFmtId="17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8" fillId="2" borderId="1" xfId="19" applyNumberFormat="1" applyFont="1" applyFill="1" applyBorder="1" applyAlignment="1">
      <alignment horizontal="justify" vertical="center"/>
      <protection/>
    </xf>
    <xf numFmtId="2" fontId="13" fillId="2" borderId="1" xfId="20" applyNumberFormat="1" applyFont="1" applyFill="1" applyBorder="1" applyAlignment="1">
      <alignment horizontal="center" vertical="center"/>
      <protection/>
    </xf>
    <xf numFmtId="49" fontId="12" fillId="3" borderId="7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3" fillId="0" borderId="7" xfId="20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3" fillId="0" borderId="1" xfId="20" applyFont="1" applyFill="1" applyBorder="1" applyAlignment="1">
      <alignment horizontal="center" vertical="center"/>
      <protection/>
    </xf>
    <xf numFmtId="49" fontId="7" fillId="0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7" fillId="2" borderId="1" xfId="19" applyNumberFormat="1" applyFont="1" applyFill="1" applyBorder="1" applyAlignment="1">
      <alignment horizontal="left" vertical="center" wrapText="1"/>
      <protection/>
    </xf>
    <xf numFmtId="3" fontId="7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3" fillId="2" borderId="1" xfId="19" applyNumberFormat="1" applyFont="1" applyFill="1" applyBorder="1" applyAlignment="1">
      <alignment horizontal="left" vertical="center" wrapText="1"/>
      <protection/>
    </xf>
    <xf numFmtId="2" fontId="7" fillId="2" borderId="1" xfId="2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2" fontId="13" fillId="0" borderId="1" xfId="20" applyNumberFormat="1" applyFont="1" applyFill="1" applyBorder="1" applyAlignment="1">
      <alignment horizontal="center" vertical="center"/>
      <protection/>
    </xf>
    <xf numFmtId="0" fontId="13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49" fontId="12" fillId="3" borderId="7" xfId="20" applyNumberFormat="1" applyFont="1" applyFill="1" applyBorder="1" applyAlignment="1">
      <alignment horizontal="center" vertical="center" wrapText="1"/>
      <protection/>
    </xf>
    <xf numFmtId="0" fontId="12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13" fillId="2" borderId="7" xfId="20" applyNumberFormat="1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3" borderId="1" xfId="20" applyFont="1" applyFill="1" applyBorder="1" applyAlignment="1">
      <alignment horizontal="center" vertical="center"/>
      <protection/>
    </xf>
    <xf numFmtId="0" fontId="7" fillId="3" borderId="1" xfId="0" applyFont="1" applyFill="1" applyBorder="1" applyAlignment="1">
      <alignment horizontal="center" wrapText="1"/>
    </xf>
    <xf numFmtId="49" fontId="12" fillId="2" borderId="7" xfId="20" applyNumberFormat="1" applyFont="1" applyFill="1" applyBorder="1" applyAlignment="1">
      <alignment horizontal="center" vertical="center" wrapText="1"/>
      <protection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20" applyFont="1" applyFill="1" applyBorder="1" applyAlignment="1">
      <alignment horizontal="center" vertical="center"/>
      <protection/>
    </xf>
    <xf numFmtId="0" fontId="11" fillId="2" borderId="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" fontId="11" fillId="0" borderId="0" xfId="0" applyNumberFormat="1" applyFont="1" applyAlignment="1">
      <alignment horizontal="left" vertical="top"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2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6" fillId="0" borderId="12" xfId="0" applyFont="1" applyBorder="1" applyAlignment="1">
      <alignment vertical="center"/>
    </xf>
    <xf numFmtId="2" fontId="15" fillId="0" borderId="0" xfId="0" applyNumberFormat="1" applyFont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/>
    </xf>
    <xf numFmtId="2" fontId="17" fillId="2" borderId="6" xfId="17" applyNumberFormat="1" applyFont="1" applyFill="1" applyBorder="1" applyAlignment="1">
      <alignment horizontal="left" vertical="center" wrapText="1"/>
      <protection/>
    </xf>
    <xf numFmtId="2" fontId="17" fillId="2" borderId="6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4" fontId="17" fillId="2" borderId="6" xfId="20" applyNumberFormat="1" applyFont="1" applyFill="1" applyBorder="1" applyAlignment="1">
      <alignment horizontal="center" vertical="center"/>
      <protection/>
    </xf>
    <xf numFmtId="2" fontId="17" fillId="0" borderId="6" xfId="0" applyNumberFormat="1" applyFont="1" applyBorder="1" applyAlignment="1">
      <alignment horizontal="center" vertical="center"/>
    </xf>
    <xf numFmtId="2" fontId="17" fillId="2" borderId="6" xfId="20" applyNumberFormat="1" applyFont="1" applyFill="1" applyBorder="1" applyAlignment="1">
      <alignment horizontal="center" vertical="center"/>
      <protection/>
    </xf>
    <xf numFmtId="2" fontId="17" fillId="0" borderId="18" xfId="0" applyNumberFormat="1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/>
    </xf>
    <xf numFmtId="49" fontId="15" fillId="0" borderId="7" xfId="0" applyNumberFormat="1" applyFont="1" applyBorder="1" applyAlignment="1">
      <alignment horizontal="center" vertical="center"/>
    </xf>
    <xf numFmtId="2" fontId="17" fillId="2" borderId="1" xfId="17" applyNumberFormat="1" applyFont="1" applyFill="1" applyBorder="1" applyAlignment="1">
      <alignment horizontal="left" vertical="center" wrapText="1"/>
      <protection/>
    </xf>
    <xf numFmtId="2" fontId="17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2" borderId="1" xfId="20" applyNumberFormat="1" applyFont="1" applyFill="1" applyBorder="1" applyAlignment="1">
      <alignment horizontal="center" vertical="center"/>
      <protection/>
    </xf>
    <xf numFmtId="2" fontId="17" fillId="0" borderId="19" xfId="0" applyNumberFormat="1" applyFont="1" applyBorder="1" applyAlignment="1">
      <alignment horizontal="center" vertical="center"/>
    </xf>
    <xf numFmtId="2" fontId="17" fillId="2" borderId="1" xfId="19" applyNumberFormat="1" applyFont="1" applyFill="1" applyBorder="1" applyAlignment="1">
      <alignment vertical="center" wrapText="1"/>
      <protection/>
    </xf>
    <xf numFmtId="0" fontId="17" fillId="2" borderId="1" xfId="0" applyNumberFormat="1" applyFont="1" applyFill="1" applyBorder="1" applyAlignment="1">
      <alignment vertical="center" wrapText="1"/>
    </xf>
    <xf numFmtId="2" fontId="17" fillId="2" borderId="1" xfId="17" applyNumberFormat="1" applyFont="1" applyFill="1" applyBorder="1" applyAlignment="1">
      <alignment vertical="center" wrapText="1"/>
      <protection/>
    </xf>
    <xf numFmtId="0" fontId="17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2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2" fontId="17" fillId="2" borderId="1" xfId="19" applyNumberFormat="1" applyFont="1" applyFill="1" applyBorder="1" applyAlignment="1">
      <alignment horizontal="left" vertical="center" wrapText="1"/>
      <protection/>
    </xf>
    <xf numFmtId="2" fontId="15" fillId="2" borderId="1" xfId="19" applyNumberFormat="1" applyFont="1" applyFill="1" applyBorder="1" applyAlignment="1">
      <alignment horizontal="left" vertical="center" wrapText="1"/>
      <protection/>
    </xf>
    <xf numFmtId="2" fontId="17" fillId="2" borderId="1" xfId="0" applyNumberFormat="1" applyFont="1" applyFill="1" applyBorder="1" applyAlignment="1">
      <alignment horizontal="left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2" fontId="17" fillId="2" borderId="1" xfId="19" applyNumberFormat="1" applyFont="1" applyFill="1" applyBorder="1" applyAlignment="1">
      <alignment horizontal="left" vertical="center"/>
      <protection/>
    </xf>
    <xf numFmtId="2" fontId="17" fillId="2" borderId="1" xfId="0" applyNumberFormat="1" applyFont="1" applyFill="1" applyBorder="1" applyAlignment="1">
      <alignment horizontal="left" vertical="center"/>
    </xf>
    <xf numFmtId="49" fontId="18" fillId="3" borderId="7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7" fillId="3" borderId="1" xfId="20" applyNumberFormat="1" applyFont="1" applyFill="1" applyBorder="1" applyAlignment="1">
      <alignment horizontal="center" vertical="center"/>
      <protection/>
    </xf>
    <xf numFmtId="2" fontId="17" fillId="3" borderId="1" xfId="0" applyNumberFormat="1" applyFont="1" applyFill="1" applyBorder="1" applyAlignment="1">
      <alignment horizontal="center" vertical="center" wrapText="1"/>
    </xf>
    <xf numFmtId="2" fontId="15" fillId="3" borderId="19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1" fontId="7" fillId="2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49" fontId="17" fillId="0" borderId="7" xfId="20" applyNumberFormat="1" applyFont="1" applyFill="1" applyBorder="1" applyAlignment="1">
      <alignment horizontal="center" vertical="center" wrapText="1"/>
      <protection/>
    </xf>
    <xf numFmtId="2" fontId="15" fillId="2" borderId="1" xfId="2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20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/>
      <protection/>
    </xf>
    <xf numFmtId="168" fontId="17" fillId="2" borderId="1" xfId="20" applyNumberFormat="1" applyFont="1" applyFill="1" applyBorder="1" applyAlignment="1">
      <alignment horizontal="center" vertical="center"/>
      <protection/>
    </xf>
    <xf numFmtId="2" fontId="18" fillId="3" borderId="7" xfId="20" applyNumberFormat="1" applyFont="1" applyFill="1" applyBorder="1" applyAlignment="1">
      <alignment horizontal="center" vertical="center" wrapText="1"/>
      <protection/>
    </xf>
    <xf numFmtId="2" fontId="18" fillId="3" borderId="1" xfId="0" applyNumberFormat="1" applyFont="1" applyFill="1" applyBorder="1" applyAlignment="1">
      <alignment horizontal="left" vertical="center" wrapText="1"/>
    </xf>
    <xf numFmtId="2" fontId="17" fillId="3" borderId="19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7" fillId="2" borderId="7" xfId="20" applyNumberFormat="1" applyFont="1" applyFill="1" applyBorder="1" applyAlignment="1">
      <alignment horizontal="center" vertical="center" wrapText="1"/>
      <protection/>
    </xf>
    <xf numFmtId="49" fontId="18" fillId="2" borderId="8" xfId="20" applyNumberFormat="1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left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2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49" fontId="20" fillId="2" borderId="8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4" fontId="21" fillId="0" borderId="1" xfId="20" applyNumberFormat="1" applyFont="1" applyFill="1" applyBorder="1" applyAlignment="1">
      <alignment horizontal="center" vertical="center"/>
      <protection/>
    </xf>
    <xf numFmtId="4" fontId="19" fillId="2" borderId="1" xfId="0" applyNumberFormat="1" applyFont="1" applyFill="1" applyBorder="1" applyAlignment="1">
      <alignment horizontal="center" vertical="center" wrapText="1"/>
    </xf>
    <xf numFmtId="4" fontId="21" fillId="2" borderId="1" xfId="20" applyNumberFormat="1" applyFont="1" applyFill="1" applyBorder="1" applyAlignment="1">
      <alignment horizontal="center" vertical="center"/>
      <protection/>
    </xf>
    <xf numFmtId="4" fontId="19" fillId="0" borderId="1" xfId="0" applyNumberFormat="1" applyFont="1" applyBorder="1" applyAlignment="1">
      <alignment horizontal="center" vertical="center"/>
    </xf>
    <xf numFmtId="0" fontId="21" fillId="0" borderId="1" xfId="20" applyFont="1" applyFill="1" applyBorder="1" applyAlignment="1">
      <alignment horizontal="center" vertical="center"/>
      <protection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2" borderId="1" xfId="19" applyNumberFormat="1" applyFont="1" applyFill="1" applyBorder="1" applyAlignment="1">
      <alignment horizontal="left" vertical="center" wrapText="1"/>
      <protection/>
    </xf>
    <xf numFmtId="0" fontId="19" fillId="2" borderId="1" xfId="0" applyNumberFormat="1" applyFont="1" applyFill="1" applyBorder="1" applyAlignment="1">
      <alignment vertical="center" wrapText="1"/>
    </xf>
    <xf numFmtId="49" fontId="22" fillId="3" borderId="7" xfId="0" applyNumberFormat="1" applyFont="1" applyFill="1" applyBorder="1" applyAlignment="1">
      <alignment horizontal="center" vertical="center"/>
    </xf>
    <xf numFmtId="0" fontId="22" fillId="3" borderId="1" xfId="0" applyNumberFormat="1" applyFont="1" applyFill="1" applyBorder="1" applyAlignment="1">
      <alignment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1" fillId="3" borderId="1" xfId="20" applyNumberFormat="1" applyFont="1" applyFill="1" applyBorder="1" applyAlignment="1">
      <alignment horizontal="center" vertical="center"/>
      <protection/>
    </xf>
    <xf numFmtId="4" fontId="19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9" fontId="21" fillId="0" borderId="7" xfId="20" applyNumberFormat="1" applyFont="1" applyFill="1" applyBorder="1" applyAlignment="1">
      <alignment horizontal="center" vertical="center" wrapText="1"/>
      <protection/>
    </xf>
    <xf numFmtId="0" fontId="21" fillId="2" borderId="1" xfId="20" applyFont="1" applyFill="1" applyBorder="1" applyAlignment="1">
      <alignment horizontal="center" vertical="center"/>
      <protection/>
    </xf>
    <xf numFmtId="49" fontId="22" fillId="3" borderId="7" xfId="20" applyNumberFormat="1" applyFont="1" applyFill="1" applyBorder="1" applyAlignment="1">
      <alignment horizontal="center" vertical="center" wrapText="1"/>
      <protection/>
    </xf>
    <xf numFmtId="0" fontId="22" fillId="3" borderId="1" xfId="0" applyFont="1" applyFill="1" applyBorder="1" applyAlignment="1">
      <alignment horizontal="left" vertical="center" wrapText="1"/>
    </xf>
    <xf numFmtId="4" fontId="22" fillId="3" borderId="1" xfId="20" applyNumberFormat="1" applyFont="1" applyFill="1" applyBorder="1" applyAlignment="1">
      <alignment horizontal="center" vertical="center"/>
      <protection/>
    </xf>
    <xf numFmtId="3" fontId="22" fillId="3" borderId="1" xfId="0" applyNumberFormat="1" applyFont="1" applyFill="1" applyBorder="1" applyAlignment="1">
      <alignment horizontal="center" vertical="center" wrapText="1"/>
    </xf>
    <xf numFmtId="49" fontId="22" fillId="2" borderId="7" xfId="20" applyNumberFormat="1" applyFont="1" applyFill="1" applyBorder="1" applyAlignment="1">
      <alignment horizontal="center" vertical="center" wrapText="1"/>
      <protection/>
    </xf>
    <xf numFmtId="0" fontId="22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2" fontId="19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0" fillId="0" borderId="12" xfId="0" applyFont="1" applyBorder="1" applyAlignment="1">
      <alignment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/>
    </xf>
    <xf numFmtId="168" fontId="21" fillId="2" borderId="1" xfId="20" applyNumberFormat="1" applyFont="1" applyFill="1" applyBorder="1" applyAlignment="1">
      <alignment horizontal="center" vertical="center"/>
      <protection/>
    </xf>
    <xf numFmtId="168" fontId="19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1" fillId="2" borderId="1" xfId="17" applyNumberFormat="1" applyFont="1" applyFill="1" applyBorder="1" applyAlignment="1">
      <alignment vertical="center" wrapText="1"/>
      <protection/>
    </xf>
    <xf numFmtId="3" fontId="21" fillId="3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" fontId="22" fillId="2" borderId="1" xfId="20" applyNumberFormat="1" applyFont="1" applyFill="1" applyBorder="1" applyAlignment="1">
      <alignment horizontal="center" vertical="center"/>
      <protection/>
    </xf>
    <xf numFmtId="4" fontId="20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3" fillId="2" borderId="0" xfId="0" applyFont="1" applyFill="1" applyAlignment="1">
      <alignment/>
    </xf>
    <xf numFmtId="2" fontId="13" fillId="2" borderId="6" xfId="17" applyNumberFormat="1" applyFont="1" applyFill="1" applyBorder="1" applyAlignment="1">
      <alignment vertical="center" wrapText="1"/>
      <protection/>
    </xf>
    <xf numFmtId="0" fontId="13" fillId="0" borderId="6" xfId="0" applyFont="1" applyBorder="1" applyAlignment="1">
      <alignment horizontal="center" vertical="center" wrapText="1"/>
    </xf>
    <xf numFmtId="168" fontId="13" fillId="2" borderId="6" xfId="0" applyNumberFormat="1" applyFont="1" applyFill="1" applyBorder="1" applyAlignment="1">
      <alignment horizontal="center" vertical="center" wrapText="1"/>
    </xf>
    <xf numFmtId="4" fontId="13" fillId="2" borderId="18" xfId="20" applyNumberFormat="1" applyFont="1" applyFill="1" applyBorder="1" applyAlignment="1">
      <alignment horizontal="center" vertical="center"/>
      <protection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22" xfId="20" applyNumberFormat="1" applyFont="1" applyFill="1" applyBorder="1" applyAlignment="1">
      <alignment horizontal="center" vertical="center"/>
      <protection/>
    </xf>
    <xf numFmtId="0" fontId="7" fillId="0" borderId="6" xfId="0" applyFont="1" applyFill="1" applyBorder="1" applyAlignment="1">
      <alignment horizontal="left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10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3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13" fillId="2" borderId="19" xfId="20" applyNumberFormat="1" applyFont="1" applyFill="1" applyBorder="1" applyAlignment="1">
      <alignment horizontal="center" vertical="center"/>
      <protection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5" xfId="20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2" fontId="13" fillId="2" borderId="1" xfId="19" applyNumberFormat="1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left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10" fontId="13" fillId="2" borderId="9" xfId="0" applyNumberFormat="1" applyFont="1" applyFill="1" applyBorder="1" applyAlignment="1">
      <alignment horizontal="center" vertical="center" wrapText="1"/>
    </xf>
    <xf numFmtId="4" fontId="13" fillId="2" borderId="26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13" fillId="2" borderId="1" xfId="17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2" fontId="7" fillId="2" borderId="1" xfId="19" applyNumberFormat="1" applyFont="1" applyFill="1" applyBorder="1" applyAlignment="1">
      <alignment horizontal="left" vertical="top" wrapText="1"/>
      <protection/>
    </xf>
    <xf numFmtId="2" fontId="13" fillId="2" borderId="1" xfId="0" applyNumberFormat="1" applyFont="1" applyFill="1" applyBorder="1" applyAlignment="1">
      <alignment horizontal="left" vertical="center" wrapText="1"/>
    </xf>
    <xf numFmtId="2" fontId="13" fillId="2" borderId="1" xfId="19" applyNumberFormat="1" applyFont="1" applyFill="1" applyBorder="1" applyAlignment="1">
      <alignment horizontal="justify" vertical="center"/>
      <protection/>
    </xf>
    <xf numFmtId="2" fontId="13" fillId="2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1" xfId="0" applyNumberFormat="1" applyFont="1" applyBorder="1" applyAlignment="1">
      <alignment/>
    </xf>
    <xf numFmtId="49" fontId="12" fillId="2" borderId="8" xfId="20" applyNumberFormat="1" applyFont="1" applyFill="1" applyBorder="1" applyAlignment="1">
      <alignment horizontal="center" vertical="center" wrapText="1"/>
      <protection/>
    </xf>
    <xf numFmtId="0" fontId="12" fillId="2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2" borderId="3" xfId="20" applyFont="1" applyFill="1" applyBorder="1" applyAlignment="1">
      <alignment horizontal="center" vertical="center"/>
      <protection/>
    </xf>
    <xf numFmtId="0" fontId="13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27" fillId="2" borderId="1" xfId="20" applyFont="1" applyFill="1" applyBorder="1" applyAlignment="1">
      <alignment horizontal="center" vertical="center"/>
      <protection/>
    </xf>
    <xf numFmtId="4" fontId="0" fillId="4" borderId="1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 wrapText="1"/>
    </xf>
    <xf numFmtId="0" fontId="15" fillId="2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9" fontId="19" fillId="2" borderId="5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</cellXfs>
  <cellStyles count="11">
    <cellStyle name="Normal" xfId="0"/>
    <cellStyle name="Currency" xfId="15"/>
    <cellStyle name="Currency [0]" xfId="16"/>
    <cellStyle name="Обычный 2" xfId="17"/>
    <cellStyle name="Обычный 3" xfId="18"/>
    <cellStyle name="Обычный 4" xfId="19"/>
    <cellStyle name="Обычный_Инвестиции Сети Сбыты ЭСО" xfId="20"/>
    <cellStyle name="Percent" xfId="21"/>
    <cellStyle name="Стиль 1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E04~1\AppData\Local\Temp\&#1050;&#1086;&#1088;&#1088;&#1077;&#1082;&#1090;&#1080;&#1088;&#1086;&#1074;&#1082;&#1072;%20&#1080;&#1085;&#1074;&#1077;&#1089;&#1090;&#1087;&#1088;&#1086;&#1075;&#1088;&#1072;&#1084;&#1084;&#1099;%202014-2016&#1075;&#1075;\&#1050;&#1086;&#1088;&#1088;&#1077;&#1082;&#1090;&#1080;&#1088;&#1086;&#1074;&#1082;&#1072;%20&#1080;&#1085;&#1074;&#1077;&#1089;&#1090;&#1087;&#1088;&#1086;&#1075;&#1088;&#1072;&#1084;&#1084;&#1099;%202014-2016&#1075;&#1075;%20&#1086;&#1090;%2029.04.2015(&#1080;&#1079;&#1084;.01.07.2015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0;&#1085;.%20&#1084;&#1086;&#1076;&#1077;&#1083;&#1100;%20-&#1082;&#1086;&#1088;&#1088;&#1077;&#1082;&#1090;&#1080;&#1088;&#1086;&#1074;&#1082;&#1072;%20&#1074;%20&#1080;&#1102;&#1083;&#1077;%20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1.4.-2016"/>
      <sheetName val="приложение 2.2"/>
      <sheetName val="приложение 3.1"/>
      <sheetName val="приложение 3.2"/>
    </sheetNames>
    <sheetDataSet>
      <sheetData sheetId="0">
        <row r="39">
          <cell r="V39">
            <v>17.294079999999997</v>
          </cell>
        </row>
        <row r="40">
          <cell r="V40">
            <v>8.968</v>
          </cell>
        </row>
        <row r="77">
          <cell r="V77">
            <v>0.4366</v>
          </cell>
        </row>
        <row r="81">
          <cell r="V81">
            <v>1.9588</v>
          </cell>
        </row>
        <row r="88">
          <cell r="V88">
            <v>0.7788</v>
          </cell>
        </row>
        <row r="112">
          <cell r="V112">
            <v>3.894</v>
          </cell>
        </row>
        <row r="113">
          <cell r="V113">
            <v>5.569599999999999</v>
          </cell>
        </row>
        <row r="125">
          <cell r="V125">
            <v>0.83426</v>
          </cell>
        </row>
        <row r="126">
          <cell r="V126">
            <v>0.6962</v>
          </cell>
        </row>
        <row r="127">
          <cell r="V127">
            <v>0.49560000000000004</v>
          </cell>
        </row>
        <row r="128">
          <cell r="V128">
            <v>0.49560000000000004</v>
          </cell>
        </row>
        <row r="129">
          <cell r="V129">
            <v>0.6372</v>
          </cell>
        </row>
        <row r="130">
          <cell r="V130">
            <v>0.7552</v>
          </cell>
        </row>
        <row r="131">
          <cell r="V131">
            <v>0.6372</v>
          </cell>
        </row>
        <row r="132">
          <cell r="V132">
            <v>0.6372</v>
          </cell>
        </row>
        <row r="133">
          <cell r="V133">
            <v>5.6168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1.1.1."/>
      <sheetName val="1.1.2."/>
      <sheetName val="1.1.3."/>
      <sheetName val="1.1.4."/>
      <sheetName val="1.1.5."/>
      <sheetName val="1.1.6. "/>
      <sheetName val="1.1.7."/>
      <sheetName val="1.1.8. "/>
      <sheetName val="1.1.9."/>
      <sheetName val="1.1.10."/>
      <sheetName val="1.1.11."/>
      <sheetName val="1.1.12."/>
      <sheetName val="1.1.13."/>
      <sheetName val="1.1.14."/>
      <sheetName val="1.1.15."/>
      <sheetName val="1.1.16."/>
      <sheetName val="1.1.17."/>
      <sheetName val="1.1.18."/>
      <sheetName val="1.1.19."/>
      <sheetName val="1.1.20."/>
      <sheetName val="1.1.21."/>
      <sheetName val="1.1.22."/>
      <sheetName val="1.1.23."/>
      <sheetName val="1.1.24."/>
      <sheetName val="1.1.25."/>
      <sheetName val="1.1.26."/>
      <sheetName val="1.1.27."/>
      <sheetName val="1.1.28."/>
      <sheetName val="1.1.29."/>
      <sheetName val="1.1.30."/>
      <sheetName val="1.1.31."/>
      <sheetName val="1.1.32."/>
      <sheetName val="1.1.33."/>
      <sheetName val="1.1.34."/>
      <sheetName val="1.1.35."/>
      <sheetName val="1.1.36."/>
      <sheetName val="1.1.37."/>
      <sheetName val="1.1.38."/>
      <sheetName val="1.1.39."/>
      <sheetName val="1.1.40."/>
      <sheetName val="1.1.41."/>
      <sheetName val="1.1.42."/>
      <sheetName val="1.1.43."/>
      <sheetName val="1.1.44."/>
      <sheetName val="1.1.45."/>
      <sheetName val="1.1.46."/>
      <sheetName val="1.1.47."/>
      <sheetName val="1.1.48."/>
      <sheetName val="1.1.49."/>
      <sheetName val="1.1.50."/>
      <sheetName val="1.1.51."/>
      <sheetName val="1.1.52."/>
      <sheetName val="1.1.53."/>
      <sheetName val="1.1.54."/>
      <sheetName val="1.1.55."/>
      <sheetName val="1.1.56."/>
      <sheetName val="1.1.57."/>
      <sheetName val="1.1.58."/>
      <sheetName val="1.1.59."/>
      <sheetName val="1.1.60."/>
      <sheetName val="1.1.61."/>
      <sheetName val="1.1.62."/>
      <sheetName val="1.1.63."/>
      <sheetName val="1.1.64."/>
      <sheetName val="1.1.65."/>
      <sheetName val="1.1.66."/>
      <sheetName val="1.1.67."/>
      <sheetName val="1.1.68."/>
      <sheetName val="1.1.69."/>
      <sheetName val="1.1.70."/>
      <sheetName val="1.1.71."/>
      <sheetName val="1.1.72."/>
      <sheetName val="1.1.73."/>
      <sheetName val="1.1.74."/>
      <sheetName val="1.1.75."/>
      <sheetName val="1.1.76."/>
      <sheetName val="1.1.77."/>
      <sheetName val="1.1.78."/>
      <sheetName val="1.1.79."/>
      <sheetName val="1.1.80."/>
      <sheetName val="1.1.81."/>
      <sheetName val="1.1.82."/>
      <sheetName val="1.1.83."/>
      <sheetName val="1.1.84."/>
      <sheetName val="1.1.85."/>
      <sheetName val="1.1.86."/>
      <sheetName val="1.1.87."/>
      <sheetName val="1.1.88."/>
      <sheetName val="1.1.89."/>
      <sheetName val="1.1.90."/>
      <sheetName val="1.1.91."/>
      <sheetName val="1.1.92."/>
      <sheetName val="1.1.93."/>
      <sheetName val="1.1.94."/>
      <sheetName val="1.1.95."/>
      <sheetName val="1.1.96."/>
      <sheetName val="1.1.97."/>
      <sheetName val="1.1.98."/>
      <sheetName val="1.1.99."/>
      <sheetName val="1.1.100."/>
      <sheetName val="1.1.101."/>
      <sheetName val="1.1.102."/>
      <sheetName val="1.1.103."/>
      <sheetName val="1.1.104."/>
      <sheetName val="1.1.105."/>
      <sheetName val="1.1.106."/>
      <sheetName val="1.1.107."/>
      <sheetName val="1.1.108."/>
      <sheetName val="1.1.109."/>
      <sheetName val="1.1.110."/>
      <sheetName val="1.1.111."/>
      <sheetName val="1.1.112."/>
      <sheetName val="1.1.113."/>
      <sheetName val="1.1.114."/>
      <sheetName val="1.1.115."/>
      <sheetName val="1.1.116."/>
      <sheetName val="1.1.117."/>
      <sheetName val="1.1.118."/>
      <sheetName val="2.1.1."/>
      <sheetName val="2.2.1.1."/>
      <sheetName val="2.2.1.2."/>
      <sheetName val="2.2.1.3."/>
      <sheetName val="2.2.1.4."/>
      <sheetName val="2.2.1.5."/>
      <sheetName val="2.2.1.6."/>
      <sheetName val="2.2.1.7."/>
      <sheetName val="2.2.1.8."/>
      <sheetName val="2.2.1.9."/>
      <sheetName val="2.2.1.10."/>
      <sheetName val="2.2.1.11."/>
      <sheetName val="2.2.1.12."/>
      <sheetName val="2.2.1.13."/>
      <sheetName val="2.2.2.1."/>
      <sheetName val="2.2.2.2."/>
      <sheetName val="2.2.2.3."/>
      <sheetName val="2.2.2.4."/>
      <sheetName val="2.2.2.5."/>
      <sheetName val="2.2.2.6."/>
      <sheetName val="2.2.2.7."/>
      <sheetName val="2.2.3.1."/>
      <sheetName val="Лист1"/>
    </sheetNames>
    <sheetDataSet>
      <sheetData sheetId="1">
        <row r="19">
          <cell r="F19">
            <v>8.240079713929031</v>
          </cell>
        </row>
        <row r="20">
          <cell r="F20">
            <v>8.936061193642866</v>
          </cell>
        </row>
        <row r="21">
          <cell r="F21">
            <v>9933396.004793057</v>
          </cell>
        </row>
        <row r="86">
          <cell r="L86">
            <v>0.08569705458410337</v>
          </cell>
        </row>
      </sheetData>
      <sheetData sheetId="2">
        <row r="19">
          <cell r="F19">
            <v>8.24007993831886</v>
          </cell>
        </row>
        <row r="20">
          <cell r="F20">
            <v>8.936061509198092</v>
          </cell>
        </row>
        <row r="21">
          <cell r="F21">
            <v>2688601.4636719935</v>
          </cell>
        </row>
        <row r="86">
          <cell r="L86">
            <v>0.08569704156281732</v>
          </cell>
        </row>
      </sheetData>
      <sheetData sheetId="3">
        <row r="19">
          <cell r="F19">
            <v>8.14537915279376</v>
          </cell>
        </row>
        <row r="20">
          <cell r="F20">
            <v>8.793103158865135</v>
          </cell>
        </row>
        <row r="21">
          <cell r="F21">
            <v>1904512.2224147355</v>
          </cell>
        </row>
        <row r="86">
          <cell r="L86">
            <v>0.09254081973823092</v>
          </cell>
        </row>
      </sheetData>
      <sheetData sheetId="4">
        <row r="19">
          <cell r="F19">
            <v>7.943687379014273</v>
          </cell>
        </row>
        <row r="20">
          <cell r="F20">
            <v>8.532434002097244</v>
          </cell>
        </row>
        <row r="21">
          <cell r="F21">
            <v>495010.26165197033</v>
          </cell>
        </row>
        <row r="86">
          <cell r="L86">
            <v>0.10511826135664415</v>
          </cell>
        </row>
      </sheetData>
      <sheetData sheetId="5">
        <row r="19">
          <cell r="F19">
            <v>7.943786815718785</v>
          </cell>
        </row>
        <row r="20">
          <cell r="F20">
            <v>8.532529127995259</v>
          </cell>
        </row>
        <row r="21">
          <cell r="F21">
            <v>192488.64563050846</v>
          </cell>
        </row>
        <row r="86">
          <cell r="L86">
            <v>0.10511348278000243</v>
          </cell>
        </row>
      </sheetData>
      <sheetData sheetId="6">
        <row r="19">
          <cell r="F19">
            <v>7.935272278762887</v>
          </cell>
        </row>
        <row r="20">
          <cell r="F20">
            <v>8.525368403681528</v>
          </cell>
        </row>
        <row r="21">
          <cell r="F21">
            <v>165672.07547671453</v>
          </cell>
        </row>
        <row r="86">
          <cell r="L86">
            <v>0.10538721251553129</v>
          </cell>
        </row>
      </sheetData>
      <sheetData sheetId="7">
        <row r="19">
          <cell r="F19">
            <v>8.574763253058043</v>
          </cell>
        </row>
        <row r="20">
          <cell r="F20">
            <v>9.183239330623715</v>
          </cell>
        </row>
        <row r="21">
          <cell r="F21">
            <v>215167.6912427252</v>
          </cell>
        </row>
        <row r="86">
          <cell r="L86">
            <v>0.07642768855768489</v>
          </cell>
        </row>
      </sheetData>
      <sheetData sheetId="8">
        <row r="19">
          <cell r="F19">
            <v>7.889757842548046</v>
          </cell>
        </row>
        <row r="20">
          <cell r="F20">
            <v>8.486912764797472</v>
          </cell>
        </row>
        <row r="21">
          <cell r="F21">
            <v>1097410.6001575913</v>
          </cell>
        </row>
        <row r="86">
          <cell r="L86">
            <v>0.10688294566996981</v>
          </cell>
        </row>
      </sheetData>
      <sheetData sheetId="9">
        <row r="19">
          <cell r="F19">
            <v>8.801861004343833</v>
          </cell>
        </row>
        <row r="20">
          <cell r="F20">
            <v>9.380277655032005</v>
          </cell>
        </row>
        <row r="21">
          <cell r="F21">
            <v>474307.1128785282</v>
          </cell>
        </row>
        <row r="86">
          <cell r="L86">
            <v>0.06438539854319614</v>
          </cell>
        </row>
      </sheetData>
      <sheetData sheetId="10">
        <row r="19">
          <cell r="F19">
            <v>8.792924908038549</v>
          </cell>
        </row>
        <row r="20">
          <cell r="F20">
            <v>9.373302386080168</v>
          </cell>
        </row>
        <row r="21">
          <cell r="F21">
            <v>541702.0208646633</v>
          </cell>
        </row>
        <row r="86">
          <cell r="L86">
            <v>0.06473585197490461</v>
          </cell>
        </row>
      </sheetData>
      <sheetData sheetId="11">
        <row r="19">
          <cell r="F19">
            <v>8.633091395718806</v>
          </cell>
        </row>
        <row r="20">
          <cell r="F20">
            <v>9.227575143011741</v>
          </cell>
        </row>
        <row r="21">
          <cell r="F21">
            <v>590453.8108563072</v>
          </cell>
        </row>
        <row r="86">
          <cell r="L86">
            <v>0.07403958212581752</v>
          </cell>
        </row>
      </sheetData>
      <sheetData sheetId="12">
        <row r="19">
          <cell r="F19">
            <v>8.626329627875343</v>
          </cell>
        </row>
        <row r="20">
          <cell r="F20">
            <v>9.222449158066489</v>
          </cell>
        </row>
        <row r="21">
          <cell r="F21">
            <v>594692.4041115951</v>
          </cell>
        </row>
        <row r="86">
          <cell r="L86">
            <v>0.07431505963077045</v>
          </cell>
        </row>
      </sheetData>
      <sheetData sheetId="13">
        <row r="19">
          <cell r="F19">
            <v>8.592063127321383</v>
          </cell>
        </row>
        <row r="20">
          <cell r="F20">
            <v>9.196416317183735</v>
          </cell>
        </row>
        <row r="21">
          <cell r="F21">
            <v>490884.4788228732</v>
          </cell>
        </row>
        <row r="86">
          <cell r="L86">
            <v>0.07571675525305</v>
          </cell>
        </row>
      </sheetData>
      <sheetData sheetId="14">
        <row r="19">
          <cell r="F19">
            <v>8.628114563346251</v>
          </cell>
        </row>
        <row r="20">
          <cell r="F20">
            <v>9.223801594284872</v>
          </cell>
        </row>
        <row r="21">
          <cell r="F21">
            <v>293337.28592457506</v>
          </cell>
        </row>
        <row r="86">
          <cell r="L86">
            <v>0.0742425025168656</v>
          </cell>
        </row>
      </sheetData>
      <sheetData sheetId="15">
        <row r="19">
          <cell r="F19">
            <v>8.66840962238969</v>
          </cell>
        </row>
        <row r="20">
          <cell r="F20">
            <v>9.263603587385097</v>
          </cell>
        </row>
        <row r="21">
          <cell r="F21">
            <v>268635.4925789655</v>
          </cell>
        </row>
        <row r="86">
          <cell r="L86">
            <v>0.0713375910060905</v>
          </cell>
        </row>
      </sheetData>
      <sheetData sheetId="16">
        <row r="19">
          <cell r="F19">
            <v>8.62633620502704</v>
          </cell>
        </row>
        <row r="20">
          <cell r="F20">
            <v>9.22245448566634</v>
          </cell>
        </row>
        <row r="21">
          <cell r="F21">
            <v>176331.45957159795</v>
          </cell>
        </row>
        <row r="86">
          <cell r="L86">
            <v>0.07431472600262423</v>
          </cell>
        </row>
      </sheetData>
      <sheetData sheetId="17">
        <row r="19">
          <cell r="F19">
            <v>8.629866615891025</v>
          </cell>
        </row>
        <row r="20">
          <cell r="F20">
            <v>9.225131349283975</v>
          </cell>
        </row>
        <row r="21">
          <cell r="F21">
            <v>175674.98983250518</v>
          </cell>
        </row>
        <row r="86">
          <cell r="L86">
            <v>0.074170842583698</v>
          </cell>
        </row>
      </sheetData>
      <sheetData sheetId="18">
        <row r="19">
          <cell r="F19">
            <v>8.629866615891025</v>
          </cell>
        </row>
        <row r="20">
          <cell r="F20">
            <v>9.225131349283975</v>
          </cell>
        </row>
        <row r="21">
          <cell r="F21">
            <v>175674.98983250518</v>
          </cell>
        </row>
        <row r="86">
          <cell r="L86">
            <v>0.074170842583698</v>
          </cell>
        </row>
      </sheetData>
      <sheetData sheetId="19">
        <row r="19">
          <cell r="F19">
            <v>8.629837590235267</v>
          </cell>
        </row>
        <row r="20">
          <cell r="F20">
            <v>9.225107784170554</v>
          </cell>
        </row>
        <row r="21">
          <cell r="F21">
            <v>382367.11678293673</v>
          </cell>
        </row>
        <row r="86">
          <cell r="L86">
            <v>0.0741723163073591</v>
          </cell>
        </row>
      </sheetData>
      <sheetData sheetId="20">
        <row r="19">
          <cell r="F19">
            <v>8.629866615891025</v>
          </cell>
        </row>
        <row r="20">
          <cell r="F20">
            <v>9.225131349283975</v>
          </cell>
        </row>
        <row r="21">
          <cell r="F21">
            <v>175674.98983250518</v>
          </cell>
        </row>
        <row r="86">
          <cell r="L86">
            <v>0.074170842583698</v>
          </cell>
        </row>
      </sheetData>
      <sheetData sheetId="21">
        <row r="19">
          <cell r="F19">
            <v>8.629818105297007</v>
          </cell>
        </row>
        <row r="20">
          <cell r="F20">
            <v>9.225091977292616</v>
          </cell>
        </row>
        <row r="21">
          <cell r="F21">
            <v>489167.57114779454</v>
          </cell>
        </row>
        <row r="86">
          <cell r="L86">
            <v>0.07417330500262476</v>
          </cell>
        </row>
      </sheetData>
      <sheetData sheetId="22">
        <row r="19">
          <cell r="F19">
            <v>8.62983838420728</v>
          </cell>
        </row>
        <row r="20">
          <cell r="F20">
            <v>9.225108435910775</v>
          </cell>
        </row>
        <row r="21">
          <cell r="F21">
            <v>420258.7754064025</v>
          </cell>
        </row>
        <row r="86">
          <cell r="L86">
            <v>0.07417227563431483</v>
          </cell>
        </row>
      </sheetData>
      <sheetData sheetId="23">
        <row r="19">
          <cell r="F19">
            <v>8.615891204972995</v>
          </cell>
        </row>
        <row r="20">
          <cell r="F20">
            <v>9.214528559434367</v>
          </cell>
        </row>
        <row r="21">
          <cell r="F21">
            <v>1104625.8779868311</v>
          </cell>
        </row>
        <row r="86">
          <cell r="L86">
            <v>0.07474109733574097</v>
          </cell>
        </row>
      </sheetData>
      <sheetData sheetId="24">
        <row r="19">
          <cell r="F19">
            <v>8.6315022763333</v>
          </cell>
        </row>
        <row r="20">
          <cell r="F20">
            <v>9.226370361043852</v>
          </cell>
        </row>
        <row r="21">
          <cell r="F21">
            <v>1592103.217822303</v>
          </cell>
        </row>
        <row r="86">
          <cell r="L86">
            <v>0.07410437029685246</v>
          </cell>
        </row>
      </sheetData>
      <sheetData sheetId="25">
        <row r="19">
          <cell r="F19">
            <v>8.506804018034824</v>
          </cell>
        </row>
        <row r="20">
          <cell r="F20">
            <v>9.131328867031804</v>
          </cell>
        </row>
        <row r="21">
          <cell r="F21">
            <v>1560041.4575805643</v>
          </cell>
        </row>
        <row r="86">
          <cell r="L86">
            <v>0.07923374779533998</v>
          </cell>
        </row>
      </sheetData>
      <sheetData sheetId="26">
        <row r="19">
          <cell r="F19">
            <v>8.933014192435127</v>
          </cell>
        </row>
        <row r="20">
          <cell r="F20">
            <v>9.506265087688615</v>
          </cell>
        </row>
        <row r="21">
          <cell r="F21">
            <v>6391488.663212916</v>
          </cell>
        </row>
        <row r="86">
          <cell r="L86">
            <v>0.05723152115418495</v>
          </cell>
        </row>
      </sheetData>
      <sheetData sheetId="27">
        <row r="19">
          <cell r="F19">
            <v>8.962605387234953</v>
          </cell>
        </row>
        <row r="20">
          <cell r="F20">
            <v>9.529917962469757</v>
          </cell>
        </row>
        <row r="21">
          <cell r="F21">
            <v>2377681.2406591396</v>
          </cell>
        </row>
        <row r="86">
          <cell r="L86">
            <v>0.05610430901456431</v>
          </cell>
        </row>
      </sheetData>
      <sheetData sheetId="28">
        <row r="19">
          <cell r="F19">
            <v>8.55792140831427</v>
          </cell>
        </row>
        <row r="20">
          <cell r="F20">
            <v>9.170388799958737</v>
          </cell>
        </row>
        <row r="21">
          <cell r="F21">
            <v>678802.7732281587</v>
          </cell>
        </row>
        <row r="86">
          <cell r="L86">
            <v>0.07712198930985492</v>
          </cell>
        </row>
      </sheetData>
      <sheetData sheetId="29">
        <row r="19">
          <cell r="F19">
            <v>8.393763099829771</v>
          </cell>
        </row>
        <row r="20">
          <cell r="F20">
            <v>9.112408881988006</v>
          </cell>
        </row>
        <row r="21">
          <cell r="F21">
            <v>398632.8478172349</v>
          </cell>
        </row>
        <row r="86">
          <cell r="L86">
            <v>0.07507720815224617</v>
          </cell>
        </row>
      </sheetData>
      <sheetData sheetId="30">
        <row r="19">
          <cell r="F19">
            <v>8.150357731536468</v>
          </cell>
        </row>
        <row r="20">
          <cell r="F20">
            <v>8.801152749447477</v>
          </cell>
        </row>
        <row r="21">
          <cell r="F21">
            <v>564696.7570462313</v>
          </cell>
        </row>
        <row r="86">
          <cell r="L86">
            <v>0.09215029911466788</v>
          </cell>
        </row>
      </sheetData>
      <sheetData sheetId="31">
        <row r="19">
          <cell r="F19">
            <v>8.150345762440079</v>
          </cell>
        </row>
        <row r="20">
          <cell r="F20">
            <v>8.801135875034182</v>
          </cell>
        </row>
        <row r="21">
          <cell r="F21">
            <v>1361180.9684909165</v>
          </cell>
        </row>
        <row r="86">
          <cell r="L86">
            <v>0.09215104463322521</v>
          </cell>
        </row>
      </sheetData>
      <sheetData sheetId="32">
        <row r="19">
          <cell r="F19">
            <v>8.630735803992579</v>
          </cell>
        </row>
        <row r="20">
          <cell r="F20">
            <v>9.308240076874068</v>
          </cell>
        </row>
        <row r="21">
          <cell r="F21">
            <v>160914.93843435706</v>
          </cell>
        </row>
        <row r="86">
          <cell r="L86">
            <v>0.06514670642635223</v>
          </cell>
        </row>
      </sheetData>
      <sheetData sheetId="33">
        <row r="19">
          <cell r="F19">
            <v>8.630736560483653</v>
          </cell>
        </row>
        <row r="20">
          <cell r="F20">
            <v>9.30824074559445</v>
          </cell>
        </row>
        <row r="21">
          <cell r="F21">
            <v>76222.79188995853</v>
          </cell>
        </row>
        <row r="86">
          <cell r="L86">
            <v>0.06514667214305714</v>
          </cell>
        </row>
      </sheetData>
      <sheetData sheetId="34">
        <row r="19">
          <cell r="F19">
            <v>8.69214880781614</v>
          </cell>
        </row>
        <row r="20">
          <cell r="F20">
            <v>9.356845254006329</v>
          </cell>
        </row>
        <row r="21">
          <cell r="F21">
            <v>308155.8671767433</v>
          </cell>
        </row>
        <row r="86">
          <cell r="L86">
            <v>0.06290386507921042</v>
          </cell>
        </row>
      </sheetData>
      <sheetData sheetId="35">
        <row r="19">
          <cell r="F19">
            <v>8.150396145632133</v>
          </cell>
        </row>
        <row r="20">
          <cell r="F20">
            <v>8.801206908597951</v>
          </cell>
        </row>
        <row r="21">
          <cell r="F21">
            <v>241312.29524872557</v>
          </cell>
        </row>
        <row r="86">
          <cell r="L86">
            <v>0.09214790629973169</v>
          </cell>
        </row>
      </sheetData>
      <sheetData sheetId="36">
        <row r="19">
          <cell r="F19">
            <v>8.150323786970441</v>
          </cell>
        </row>
        <row r="20">
          <cell r="F20">
            <v>8.80110490688146</v>
          </cell>
        </row>
        <row r="21">
          <cell r="F21">
            <v>559893.7414866937</v>
          </cell>
        </row>
        <row r="86">
          <cell r="L86">
            <v>0.09215241222851511</v>
          </cell>
        </row>
      </sheetData>
      <sheetData sheetId="37">
        <row r="19">
          <cell r="F19">
            <v>8.245103443691793</v>
          </cell>
        </row>
        <row r="20">
          <cell r="F20">
            <v>8.944284147720605</v>
          </cell>
        </row>
        <row r="21">
          <cell r="F21">
            <v>112089.31659091864</v>
          </cell>
        </row>
        <row r="86">
          <cell r="L86">
            <v>0.08532513487825422</v>
          </cell>
        </row>
      </sheetData>
      <sheetData sheetId="38">
        <row r="19">
          <cell r="F19">
            <v>8.150344410149911</v>
          </cell>
        </row>
        <row r="20">
          <cell r="F20">
            <v>8.801133970935505</v>
          </cell>
        </row>
        <row r="21">
          <cell r="F21">
            <v>1032881.1799962809</v>
          </cell>
        </row>
        <row r="86">
          <cell r="L86">
            <v>0.09215112865035757</v>
          </cell>
        </row>
      </sheetData>
      <sheetData sheetId="39">
        <row r="19">
          <cell r="F19">
            <v>8.15034473546822</v>
          </cell>
        </row>
        <row r="20">
          <cell r="F20">
            <v>8.801134424856857</v>
          </cell>
        </row>
        <row r="21">
          <cell r="F21">
            <v>8851886.71484725</v>
          </cell>
        </row>
        <row r="86">
          <cell r="L86">
            <v>0.0921511088062621</v>
          </cell>
        </row>
      </sheetData>
      <sheetData sheetId="40">
        <row r="19">
          <cell r="F19">
            <v>8.803887439636831</v>
          </cell>
        </row>
        <row r="20">
          <cell r="F20">
            <v>9.445022384938119</v>
          </cell>
        </row>
        <row r="21">
          <cell r="F21">
            <v>179688.11517243763</v>
          </cell>
        </row>
        <row r="86">
          <cell r="L86">
            <v>0.058741415469336644</v>
          </cell>
        </row>
      </sheetData>
      <sheetData sheetId="41">
        <row r="19">
          <cell r="F19">
            <v>8.150338517818815</v>
          </cell>
        </row>
        <row r="20">
          <cell r="F20">
            <v>8.801125643395732</v>
          </cell>
        </row>
        <row r="21">
          <cell r="F21">
            <v>178583.42236599827</v>
          </cell>
        </row>
        <row r="86">
          <cell r="L86">
            <v>0.09215149747319606</v>
          </cell>
        </row>
      </sheetData>
      <sheetData sheetId="42">
        <row r="19">
          <cell r="F19">
            <v>8.145368344093496</v>
          </cell>
        </row>
        <row r="20">
          <cell r="F20">
            <v>8.793087935384268</v>
          </cell>
        </row>
        <row r="21">
          <cell r="F21">
            <v>397890.43486356124</v>
          </cell>
        </row>
        <row r="86">
          <cell r="L86">
            <v>0.0925414946095453</v>
          </cell>
        </row>
      </sheetData>
      <sheetData sheetId="43">
        <row r="19">
          <cell r="F19">
            <v>8.150335116913743</v>
          </cell>
        </row>
        <row r="20">
          <cell r="F20">
            <v>8.80112085964551</v>
          </cell>
        </row>
        <row r="21">
          <cell r="F21">
            <v>501966.8058845402</v>
          </cell>
        </row>
        <row r="86">
          <cell r="L86">
            <v>0.0921517083350829</v>
          </cell>
        </row>
      </sheetData>
      <sheetData sheetId="44">
        <row r="19">
          <cell r="F19">
            <v>8.111658736746428</v>
          </cell>
        </row>
        <row r="20">
          <cell r="F20">
            <v>8.75166922898995</v>
          </cell>
        </row>
        <row r="21">
          <cell r="F21">
            <v>154408.9435467212</v>
          </cell>
        </row>
        <row r="86">
          <cell r="L86">
            <v>0.09400084332348912</v>
          </cell>
        </row>
      </sheetData>
      <sheetData sheetId="45">
        <row r="19">
          <cell r="F19">
            <v>8.111710062710776</v>
          </cell>
        </row>
        <row r="20">
          <cell r="F20">
            <v>8.75174169979686</v>
          </cell>
        </row>
        <row r="21">
          <cell r="F21">
            <v>632538.8990572898</v>
          </cell>
        </row>
        <row r="86">
          <cell r="L86">
            <v>0.0939975866234557</v>
          </cell>
        </row>
      </sheetData>
      <sheetData sheetId="46">
        <row r="19">
          <cell r="F19">
            <v>8.15035573876184</v>
          </cell>
        </row>
        <row r="20">
          <cell r="F20">
            <v>8.80114995146864</v>
          </cell>
        </row>
        <row r="21">
          <cell r="F21">
            <v>265456.6479163884</v>
          </cell>
        </row>
        <row r="86">
          <cell r="L86">
            <v>0.09215042221786018</v>
          </cell>
        </row>
      </sheetData>
      <sheetData sheetId="47">
        <row r="19">
          <cell r="F19">
            <v>8.692206378903458</v>
          </cell>
        </row>
        <row r="20">
          <cell r="F20">
            <v>9.356895464347078</v>
          </cell>
        </row>
        <row r="21">
          <cell r="F21">
            <v>95155.27148587149</v>
          </cell>
        </row>
        <row r="86">
          <cell r="L86">
            <v>0.0629012544070906</v>
          </cell>
        </row>
      </sheetData>
      <sheetData sheetId="48">
        <row r="19">
          <cell r="F19">
            <v>8.556520837825184</v>
          </cell>
        </row>
        <row r="20">
          <cell r="F20">
            <v>9.249122844266145</v>
          </cell>
        </row>
        <row r="21">
          <cell r="F21">
            <v>88838.83873451101</v>
          </cell>
        </row>
        <row r="86">
          <cell r="L86">
            <v>0.06788997455188128</v>
          </cell>
        </row>
      </sheetData>
      <sheetData sheetId="49">
        <row r="19">
          <cell r="F19">
            <v>8.630730104539143</v>
          </cell>
        </row>
        <row r="20">
          <cell r="F20">
            <v>9.30823513450568</v>
          </cell>
        </row>
        <row r="21">
          <cell r="F21">
            <v>148332.16774144364</v>
          </cell>
        </row>
        <row r="86">
          <cell r="L86">
            <v>0.06514696755868021</v>
          </cell>
        </row>
      </sheetData>
      <sheetData sheetId="50">
        <row r="19">
          <cell r="F19">
            <v>7.802268757223693</v>
          </cell>
        </row>
        <row r="20">
          <cell r="F20">
            <v>8.34887299510243</v>
          </cell>
        </row>
        <row r="21">
          <cell r="F21">
            <v>300276.16261991474</v>
          </cell>
        </row>
        <row r="86">
          <cell r="L86">
            <v>0.1206076960021758</v>
          </cell>
        </row>
      </sheetData>
      <sheetData sheetId="51">
        <row r="19">
          <cell r="F19">
            <v>7.799024477078884</v>
          </cell>
        </row>
        <row r="20">
          <cell r="F20">
            <v>8.34628904264376</v>
          </cell>
        </row>
        <row r="21">
          <cell r="F21">
            <v>284437.52461047936</v>
          </cell>
        </row>
        <row r="86">
          <cell r="L86">
            <v>0.1207191126527607</v>
          </cell>
        </row>
      </sheetData>
      <sheetData sheetId="52">
        <row r="19">
          <cell r="F19">
            <v>7.791848309651832</v>
          </cell>
        </row>
        <row r="20">
          <cell r="F20">
            <v>8.340584597889677</v>
          </cell>
        </row>
        <row r="21">
          <cell r="F21">
            <v>1900044.260633849</v>
          </cell>
        </row>
        <row r="86">
          <cell r="L86">
            <v>0.12096265292160502</v>
          </cell>
        </row>
      </sheetData>
      <sheetData sheetId="53">
        <row r="19">
          <cell r="F19">
            <v>7.7918482046188</v>
          </cell>
        </row>
        <row r="20">
          <cell r="F20">
            <v>8.340584508661767</v>
          </cell>
        </row>
        <row r="21">
          <cell r="F21">
            <v>2314940.4863823005</v>
          </cell>
        </row>
        <row r="86">
          <cell r="L86">
            <v>0.12096265816998342</v>
          </cell>
        </row>
      </sheetData>
      <sheetData sheetId="54">
        <row r="19">
          <cell r="F19">
            <v>7.799160314515325</v>
          </cell>
        </row>
        <row r="20">
          <cell r="F20">
            <v>8.346406571114583</v>
          </cell>
        </row>
        <row r="21">
          <cell r="F21">
            <v>235655.45790764922</v>
          </cell>
        </row>
        <row r="86">
          <cell r="L86">
            <v>0.1207123331786466</v>
          </cell>
        </row>
      </sheetData>
      <sheetData sheetId="55">
        <row r="19">
          <cell r="F19">
            <v>7.81499721842751</v>
          </cell>
        </row>
        <row r="20">
          <cell r="F20">
            <v>8.358987245362744</v>
          </cell>
        </row>
        <row r="21">
          <cell r="F21">
            <v>234093.01579535363</v>
          </cell>
        </row>
        <row r="86">
          <cell r="L86">
            <v>0.12017487516445291</v>
          </cell>
        </row>
      </sheetData>
      <sheetData sheetId="56">
        <row r="19">
          <cell r="F19">
            <v>7.7899252882783845</v>
          </cell>
        </row>
        <row r="20">
          <cell r="F20">
            <v>8.339060897760149</v>
          </cell>
        </row>
        <row r="21">
          <cell r="F21">
            <v>236569.93811226665</v>
          </cell>
        </row>
        <row r="86">
          <cell r="L86">
            <v>0.12102667516584265</v>
          </cell>
        </row>
      </sheetData>
      <sheetData sheetId="57">
        <row r="19">
          <cell r="F19">
            <v>7.791845920774249</v>
          </cell>
        </row>
        <row r="20">
          <cell r="F20">
            <v>8.340582532871471</v>
          </cell>
        </row>
        <row r="21">
          <cell r="F21">
            <v>1467218.096881771</v>
          </cell>
        </row>
        <row r="86">
          <cell r="L86">
            <v>0.12096277231270047</v>
          </cell>
        </row>
      </sheetData>
      <sheetData sheetId="58">
        <row r="19">
          <cell r="F19">
            <v>7.791826529373818</v>
          </cell>
        </row>
        <row r="20">
          <cell r="F20">
            <v>8.3405657788609</v>
          </cell>
        </row>
        <row r="21">
          <cell r="F21">
            <v>252691.03316079883</v>
          </cell>
        </row>
        <row r="86">
          <cell r="L86">
            <v>0.1209637414499325</v>
          </cell>
        </row>
      </sheetData>
      <sheetData sheetId="59">
        <row r="19">
          <cell r="F19">
            <v>7.802251585982358</v>
          </cell>
        </row>
        <row r="20">
          <cell r="F20">
            <v>8.348858137093938</v>
          </cell>
        </row>
        <row r="21">
          <cell r="F21">
            <v>1477053.080346975</v>
          </cell>
        </row>
        <row r="86">
          <cell r="L86">
            <v>0.12060855248299407</v>
          </cell>
        </row>
      </sheetData>
      <sheetData sheetId="60">
        <row r="19">
          <cell r="F19">
            <v>7.780721994957547</v>
          </cell>
        </row>
        <row r="20">
          <cell r="F20">
            <v>8.331727399780688</v>
          </cell>
        </row>
        <row r="21">
          <cell r="F21">
            <v>1408554.5900362253</v>
          </cell>
        </row>
        <row r="86">
          <cell r="L86">
            <v>0.1213420650665693</v>
          </cell>
        </row>
      </sheetData>
      <sheetData sheetId="61">
        <row r="19">
          <cell r="F19">
            <v>7.798993040834692</v>
          </cell>
        </row>
        <row r="20">
          <cell r="F20">
            <v>8.346261831119715</v>
          </cell>
        </row>
        <row r="21">
          <cell r="F21">
            <v>243808.59676087913</v>
          </cell>
        </row>
        <row r="86">
          <cell r="L86">
            <v>0.12072068159280258</v>
          </cell>
        </row>
      </sheetData>
      <sheetData sheetId="62">
        <row r="19">
          <cell r="F19">
            <v>7.799076210810869</v>
          </cell>
        </row>
        <row r="20">
          <cell r="F20">
            <v>8.346333801256113</v>
          </cell>
        </row>
        <row r="21">
          <cell r="F21">
            <v>1698439.1313829292</v>
          </cell>
        </row>
        <row r="86">
          <cell r="L86">
            <v>0.12071653067636734</v>
          </cell>
        </row>
      </sheetData>
      <sheetData sheetId="63">
        <row r="19">
          <cell r="F19">
            <v>7.7918558581133865</v>
          </cell>
        </row>
        <row r="20">
          <cell r="F20">
            <v>8.340591126250548</v>
          </cell>
        </row>
        <row r="21">
          <cell r="F21">
            <v>1881612.5420837835</v>
          </cell>
        </row>
        <row r="86">
          <cell r="L86">
            <v>0.12096227566352535</v>
          </cell>
        </row>
      </sheetData>
      <sheetData sheetId="64">
        <row r="19">
          <cell r="F19">
            <v>7.791853175936085</v>
          </cell>
        </row>
        <row r="20">
          <cell r="F20">
            <v>8.34058880392719</v>
          </cell>
        </row>
        <row r="21">
          <cell r="F21">
            <v>1203601.7908077934</v>
          </cell>
        </row>
        <row r="86">
          <cell r="L86">
            <v>0.12096240971531258</v>
          </cell>
        </row>
      </sheetData>
      <sheetData sheetId="65">
        <row r="19">
          <cell r="F19">
            <v>7.8261586663351785</v>
          </cell>
        </row>
        <row r="20">
          <cell r="F20">
            <v>8.367835289393744</v>
          </cell>
        </row>
        <row r="21">
          <cell r="F21">
            <v>2393804.494062772</v>
          </cell>
        </row>
        <row r="86">
          <cell r="L86">
            <v>0.11979861824928317</v>
          </cell>
        </row>
      </sheetData>
      <sheetData sheetId="66">
        <row r="19">
          <cell r="F19">
            <v>7.791853782119408</v>
          </cell>
        </row>
        <row r="20">
          <cell r="F20">
            <v>8.340589332474957</v>
          </cell>
        </row>
        <row r="21">
          <cell r="F21">
            <v>1328640.304780616</v>
          </cell>
        </row>
        <row r="86">
          <cell r="L86">
            <v>0.12096237941680954</v>
          </cell>
        </row>
      </sheetData>
      <sheetData sheetId="67">
        <row r="19">
          <cell r="F19">
            <v>7.791876407229063</v>
          </cell>
        </row>
        <row r="20">
          <cell r="F20">
            <v>8.340608894185431</v>
          </cell>
        </row>
        <row r="21">
          <cell r="F21">
            <v>864010.3548880056</v>
          </cell>
        </row>
        <row r="86">
          <cell r="L86">
            <v>0.12096124866080804</v>
          </cell>
        </row>
      </sheetData>
      <sheetData sheetId="68">
        <row r="19">
          <cell r="F19">
            <v>7.793776243629457</v>
          </cell>
        </row>
        <row r="20">
          <cell r="F20">
            <v>8.342118479850306</v>
          </cell>
        </row>
        <row r="21">
          <cell r="F21">
            <v>1733824.2351392333</v>
          </cell>
        </row>
        <row r="86">
          <cell r="L86">
            <v>0.12089697370133923</v>
          </cell>
        </row>
      </sheetData>
      <sheetData sheetId="69">
        <row r="19">
          <cell r="F19">
            <v>7.795627124283323</v>
          </cell>
        </row>
        <row r="20">
          <cell r="F20">
            <v>8.343591296990697</v>
          </cell>
        </row>
        <row r="21">
          <cell r="F21">
            <v>1554409.1782202695</v>
          </cell>
        </row>
        <row r="86">
          <cell r="L86">
            <v>0.1208338269605378</v>
          </cell>
        </row>
      </sheetData>
      <sheetData sheetId="70">
        <row r="19">
          <cell r="F19">
            <v>7.791878875395867</v>
          </cell>
        </row>
        <row r="20">
          <cell r="F20">
            <v>8.340611029929041</v>
          </cell>
        </row>
        <row r="21">
          <cell r="F21">
            <v>374947.7824477611</v>
          </cell>
        </row>
        <row r="86">
          <cell r="L86">
            <v>0.12096112530605851</v>
          </cell>
        </row>
      </sheetData>
      <sheetData sheetId="71">
        <row r="19">
          <cell r="F19">
            <v>7.791856552230411</v>
          </cell>
        </row>
        <row r="20">
          <cell r="F20">
            <v>8.340591725189826</v>
          </cell>
        </row>
        <row r="21">
          <cell r="F21">
            <v>1981381.882953957</v>
          </cell>
        </row>
        <row r="86">
          <cell r="L86">
            <v>0.1209622409736899</v>
          </cell>
        </row>
      </sheetData>
      <sheetData sheetId="72">
        <row r="19">
          <cell r="F19">
            <v>7.810372206074018</v>
          </cell>
        </row>
        <row r="20">
          <cell r="F20">
            <v>8.355307656376942</v>
          </cell>
        </row>
        <row r="21">
          <cell r="F21">
            <v>692341.4649481283</v>
          </cell>
        </row>
        <row r="86">
          <cell r="L86">
            <v>0.12033331502429134</v>
          </cell>
        </row>
      </sheetData>
      <sheetData sheetId="73">
        <row r="19">
          <cell r="F19">
            <v>7.695784134914342</v>
          </cell>
        </row>
        <row r="20">
          <cell r="F20">
            <v>8.263772024404451</v>
          </cell>
        </row>
        <row r="21">
          <cell r="F21">
            <v>1340500.4421692127</v>
          </cell>
        </row>
        <row r="86">
          <cell r="L86">
            <v>0.12427274361111929</v>
          </cell>
        </row>
      </sheetData>
      <sheetData sheetId="74">
        <row r="19">
          <cell r="F19">
            <v>7.718578868964128</v>
          </cell>
        </row>
        <row r="20">
          <cell r="F20">
            <v>8.282046304975758</v>
          </cell>
        </row>
        <row r="21">
          <cell r="F21">
            <v>58835.797823331086</v>
          </cell>
        </row>
        <row r="86">
          <cell r="L86">
            <v>0.12348645045097562</v>
          </cell>
        </row>
      </sheetData>
      <sheetData sheetId="75">
        <row r="19">
          <cell r="F19">
            <v>7.7189342637748695</v>
          </cell>
        </row>
        <row r="20">
          <cell r="F20">
            <v>8.282351404279787</v>
          </cell>
        </row>
        <row r="21">
          <cell r="F21">
            <v>713256.6102411075</v>
          </cell>
        </row>
        <row r="86">
          <cell r="L86">
            <v>0.12346843632117843</v>
          </cell>
        </row>
      </sheetData>
      <sheetData sheetId="76">
        <row r="19">
          <cell r="F19">
            <v>7.791856407554655</v>
          </cell>
        </row>
        <row r="20">
          <cell r="F20">
            <v>8.34059159797518</v>
          </cell>
        </row>
        <row r="21">
          <cell r="F21">
            <v>1817869.8877587274</v>
          </cell>
        </row>
        <row r="86">
          <cell r="L86">
            <v>0.12096224820557322</v>
          </cell>
        </row>
      </sheetData>
      <sheetData sheetId="77">
        <row r="19">
          <cell r="F19">
            <v>7.791901214052951</v>
          </cell>
        </row>
        <row r="20">
          <cell r="F20">
            <v>8.340630343565891</v>
          </cell>
        </row>
        <row r="21">
          <cell r="F21">
            <v>383092.4396079192</v>
          </cell>
        </row>
        <row r="86">
          <cell r="L86">
            <v>0.12096000886920444</v>
          </cell>
        </row>
      </sheetData>
      <sheetData sheetId="78">
        <row r="19">
          <cell r="F19">
            <v>7.651826452748425</v>
          </cell>
        </row>
        <row r="20">
          <cell r="F20">
            <v>8.228368212182467</v>
          </cell>
        </row>
        <row r="21">
          <cell r="F21">
            <v>552942.2414482923</v>
          </cell>
        </row>
        <row r="86">
          <cell r="L86">
            <v>0.12581290252024413</v>
          </cell>
        </row>
      </sheetData>
      <sheetData sheetId="79">
        <row r="19">
          <cell r="F19">
            <v>7.751196087489219</v>
          </cell>
        </row>
        <row r="20">
          <cell r="F20">
            <v>8.308173003458956</v>
          </cell>
        </row>
        <row r="21">
          <cell r="F21">
            <v>420682.0548897424</v>
          </cell>
        </row>
        <row r="86">
          <cell r="L86">
            <v>0.12235395602374188</v>
          </cell>
        </row>
      </sheetData>
      <sheetData sheetId="80">
        <row r="19">
          <cell r="F19">
            <v>7.789831501929493</v>
          </cell>
        </row>
        <row r="20">
          <cell r="F20">
            <v>8.33897980671738</v>
          </cell>
        </row>
        <row r="21">
          <cell r="F21">
            <v>293691.5260308558</v>
          </cell>
        </row>
        <row r="86">
          <cell r="L86">
            <v>0.12103136423280891</v>
          </cell>
        </row>
      </sheetData>
      <sheetData sheetId="81">
        <row r="19">
          <cell r="F19">
            <v>7.778144110712512</v>
          </cell>
        </row>
        <row r="20">
          <cell r="F20">
            <v>8.32967400121111</v>
          </cell>
        </row>
        <row r="21">
          <cell r="F21">
            <v>522383.2577717926</v>
          </cell>
        </row>
        <row r="86">
          <cell r="L86">
            <v>0.12143006832045122</v>
          </cell>
        </row>
      </sheetData>
      <sheetData sheetId="82">
        <row r="19">
          <cell r="F19">
            <v>7.7918121877784134</v>
          </cell>
        </row>
        <row r="20">
          <cell r="F20">
            <v>8.340553373545989</v>
          </cell>
        </row>
        <row r="21">
          <cell r="F21">
            <v>358661.1659931245</v>
          </cell>
        </row>
        <row r="86">
          <cell r="L86">
            <v>0.12096445821955415</v>
          </cell>
        </row>
      </sheetData>
      <sheetData sheetId="83">
        <row r="19">
          <cell r="F19">
            <v>7.780712035488952</v>
          </cell>
        </row>
        <row r="20">
          <cell r="F20">
            <v>8.33171879436518</v>
          </cell>
        </row>
        <row r="21">
          <cell r="F21">
            <v>1727948.24037454</v>
          </cell>
        </row>
        <row r="86">
          <cell r="L86">
            <v>0.12134256389673337</v>
          </cell>
        </row>
      </sheetData>
      <sheetData sheetId="84">
        <row r="19">
          <cell r="F19">
            <v>7.780550779629017</v>
          </cell>
        </row>
        <row r="20">
          <cell r="F20">
            <v>8.33157950600698</v>
          </cell>
        </row>
        <row r="21">
          <cell r="F21">
            <v>98282.7059583482</v>
          </cell>
        </row>
        <row r="86">
          <cell r="L86">
            <v>0.12135064050815858</v>
          </cell>
        </row>
      </sheetData>
      <sheetData sheetId="85">
        <row r="19">
          <cell r="F19">
            <v>7.762848343009303</v>
          </cell>
        </row>
        <row r="20">
          <cell r="F20">
            <v>8.317476932069326</v>
          </cell>
        </row>
        <row r="21">
          <cell r="F21">
            <v>222769.7044460691</v>
          </cell>
        </row>
        <row r="86">
          <cell r="L86">
            <v>0.12195383037997254</v>
          </cell>
        </row>
      </sheetData>
      <sheetData sheetId="86">
        <row r="19">
          <cell r="F19">
            <v>7.762834200717591</v>
          </cell>
        </row>
        <row r="20">
          <cell r="F20">
            <v>8.317464761479973</v>
          </cell>
        </row>
        <row r="21">
          <cell r="F21">
            <v>148513.9600233148</v>
          </cell>
        </row>
        <row r="86">
          <cell r="L86">
            <v>0.12195454100092085</v>
          </cell>
        </row>
      </sheetData>
      <sheetData sheetId="87">
        <row r="19">
          <cell r="F19">
            <v>7.762887100983373</v>
          </cell>
        </row>
        <row r="20">
          <cell r="F20">
            <v>8.317510357845459</v>
          </cell>
        </row>
        <row r="21">
          <cell r="F21">
            <v>231013.83812415128</v>
          </cell>
        </row>
        <row r="86">
          <cell r="L86">
            <v>0.12195188245159838</v>
          </cell>
        </row>
      </sheetData>
      <sheetData sheetId="88">
        <row r="19">
          <cell r="F19">
            <v>7.71899747459995</v>
          </cell>
        </row>
        <row r="20">
          <cell r="F20">
            <v>8.282405615212074</v>
          </cell>
        </row>
        <row r="21">
          <cell r="F21">
            <v>117638.51821994557</v>
          </cell>
        </row>
        <row r="86">
          <cell r="L86">
            <v>0.12346523301630485</v>
          </cell>
        </row>
      </sheetData>
      <sheetData sheetId="89">
        <row r="19">
          <cell r="F19">
            <v>7.798902236090413</v>
          </cell>
        </row>
        <row r="20">
          <cell r="F20">
            <v>8.34618329576352</v>
          </cell>
        </row>
        <row r="21">
          <cell r="F21">
            <v>97529.70374238276</v>
          </cell>
        </row>
        <row r="86">
          <cell r="L86">
            <v>0.12072521362974897</v>
          </cell>
        </row>
      </sheetData>
      <sheetData sheetId="90">
        <row r="19">
          <cell r="F19">
            <v>7.71879749049984</v>
          </cell>
        </row>
        <row r="20">
          <cell r="F20">
            <v>8.282234059960134</v>
          </cell>
        </row>
        <row r="21">
          <cell r="F21">
            <v>100846.83234605657</v>
          </cell>
        </row>
        <row r="86">
          <cell r="L86">
            <v>0.12347536811243542</v>
          </cell>
        </row>
      </sheetData>
      <sheetData sheetId="91">
        <row r="19">
          <cell r="F19">
            <v>7.797397709672831</v>
          </cell>
        </row>
        <row r="20">
          <cell r="F20">
            <v>8.344999909861517</v>
          </cell>
        </row>
        <row r="21">
          <cell r="F21">
            <v>1109233.125516179</v>
          </cell>
        </row>
        <row r="86">
          <cell r="L86">
            <v>0.12077345784896343</v>
          </cell>
        </row>
      </sheetData>
      <sheetData sheetId="92">
        <row r="19">
          <cell r="F19">
            <v>7.68653707139515</v>
          </cell>
        </row>
        <row r="20">
          <cell r="F20">
            <v>8.25634068101832</v>
          </cell>
        </row>
        <row r="21">
          <cell r="F21">
            <v>442863.839597292</v>
          </cell>
        </row>
        <row r="86">
          <cell r="L86">
            <v>0.1245944849138576</v>
          </cell>
        </row>
      </sheetData>
      <sheetData sheetId="93">
        <row r="19">
          <cell r="F19">
            <v>7.7189309264875865</v>
          </cell>
        </row>
        <row r="20">
          <cell r="F20">
            <v>8.2823485282452</v>
          </cell>
        </row>
        <row r="21">
          <cell r="F21">
            <v>184869.30139150753</v>
          </cell>
        </row>
        <row r="86">
          <cell r="L86">
            <v>0.12346860559750783</v>
          </cell>
        </row>
      </sheetData>
      <sheetData sheetId="94">
        <row r="19">
          <cell r="F19">
            <v>7.785541136260308</v>
          </cell>
        </row>
        <row r="20">
          <cell r="F20">
            <v>8.335567634872909</v>
          </cell>
        </row>
        <row r="21">
          <cell r="F21">
            <v>343252.3851441596</v>
          </cell>
        </row>
        <row r="86">
          <cell r="L86">
            <v>0.1211769801217637</v>
          </cell>
        </row>
      </sheetData>
      <sheetData sheetId="95">
        <row r="19">
          <cell r="F19">
            <v>7.775391855804363</v>
          </cell>
        </row>
        <row r="20">
          <cell r="F20">
            <v>8.327478874837702</v>
          </cell>
        </row>
        <row r="21">
          <cell r="F21">
            <v>328304.4303888348</v>
          </cell>
        </row>
        <row r="86">
          <cell r="L86">
            <v>0.12152461566260042</v>
          </cell>
        </row>
      </sheetData>
      <sheetData sheetId="96">
        <row r="19">
          <cell r="F19">
            <v>7.780713732364032</v>
          </cell>
        </row>
        <row r="20">
          <cell r="F20">
            <v>8.331720264454233</v>
          </cell>
        </row>
        <row r="21">
          <cell r="F21">
            <v>442223.03258504835</v>
          </cell>
        </row>
        <row r="86">
          <cell r="L86">
            <v>0.12134247889541316</v>
          </cell>
        </row>
      </sheetData>
      <sheetData sheetId="97">
        <row r="19">
          <cell r="F19">
            <v>7.789788180841469</v>
          </cell>
        </row>
        <row r="20">
          <cell r="F20">
            <v>8.338942351552351</v>
          </cell>
        </row>
        <row r="21">
          <cell r="F21">
            <v>285541.3847395126</v>
          </cell>
        </row>
        <row r="86">
          <cell r="L86">
            <v>0.12103353018440366</v>
          </cell>
        </row>
      </sheetData>
      <sheetData sheetId="98">
        <row r="21">
          <cell r="F21">
            <v>13265918.720484499</v>
          </cell>
        </row>
      </sheetData>
      <sheetData sheetId="99">
        <row r="19">
          <cell r="F19">
            <v>7.789840378386372</v>
          </cell>
        </row>
        <row r="20">
          <cell r="F20">
            <v>8.338987478100584</v>
          </cell>
        </row>
        <row r="21">
          <cell r="F21">
            <v>7549451.9099389715</v>
          </cell>
        </row>
        <row r="86">
          <cell r="L86">
            <v>0.12103092043551911</v>
          </cell>
        </row>
      </sheetData>
      <sheetData sheetId="100">
        <row r="19">
          <cell r="F19">
            <v>7.7725444650616495</v>
          </cell>
        </row>
        <row r="20">
          <cell r="F20">
            <v>8.325211147575635</v>
          </cell>
        </row>
        <row r="21">
          <cell r="F21">
            <v>5398459.192412043</v>
          </cell>
        </row>
        <row r="86">
          <cell r="L86">
            <v>0.12162155431551125</v>
          </cell>
        </row>
      </sheetData>
      <sheetData sheetId="101">
        <row r="19">
          <cell r="F19">
            <v>7.785496994471313</v>
          </cell>
        </row>
        <row r="20">
          <cell r="F20">
            <v>8.335529500542249</v>
          </cell>
        </row>
        <row r="21">
          <cell r="F21">
            <v>1838908.778646514</v>
          </cell>
        </row>
        <row r="86">
          <cell r="L86">
            <v>0.12117918891134472</v>
          </cell>
        </row>
      </sheetData>
      <sheetData sheetId="102">
        <row r="19">
          <cell r="F19">
            <v>7.7831725058017</v>
          </cell>
        </row>
        <row r="20">
          <cell r="F20">
            <v>8.33367903662048</v>
          </cell>
        </row>
        <row r="21">
          <cell r="F21">
            <v>629927.0002376976</v>
          </cell>
        </row>
        <row r="86">
          <cell r="L86">
            <v>0.12125841238843327</v>
          </cell>
        </row>
      </sheetData>
      <sheetData sheetId="103">
        <row r="19">
          <cell r="F19">
            <v>7.810392172471973</v>
          </cell>
        </row>
        <row r="20">
          <cell r="F20">
            <v>8.355324946322726</v>
          </cell>
        </row>
        <row r="21">
          <cell r="F21">
            <v>7182133.201689587</v>
          </cell>
        </row>
        <row r="86">
          <cell r="L86">
            <v>0.12033232066677568</v>
          </cell>
        </row>
      </sheetData>
      <sheetData sheetId="104">
        <row r="19">
          <cell r="F19">
            <v>7.718964859574359</v>
          </cell>
        </row>
        <row r="20">
          <cell r="F20">
            <v>8.28237766545862</v>
          </cell>
        </row>
        <row r="21">
          <cell r="F21">
            <v>8704778.688189033</v>
          </cell>
        </row>
        <row r="86">
          <cell r="L86">
            <v>0.12346688559090224</v>
          </cell>
        </row>
      </sheetData>
      <sheetData sheetId="105">
        <row r="19">
          <cell r="F19">
            <v>7.762855703558441</v>
          </cell>
        </row>
        <row r="20">
          <cell r="F20">
            <v>8.317483297395473</v>
          </cell>
        </row>
        <row r="21">
          <cell r="F21">
            <v>6336519.083998152</v>
          </cell>
        </row>
        <row r="86">
          <cell r="L86">
            <v>0.12195346034302301</v>
          </cell>
        </row>
      </sheetData>
      <sheetData sheetId="106">
        <row r="19">
          <cell r="F19">
            <v>8.718915135454411</v>
          </cell>
        </row>
        <row r="20">
          <cell r="F20">
            <v>9.315286585869659</v>
          </cell>
        </row>
        <row r="21">
          <cell r="F21">
            <v>650418.4577610333</v>
          </cell>
        </row>
        <row r="86">
          <cell r="L86">
            <v>0.06766246990451408</v>
          </cell>
        </row>
      </sheetData>
      <sheetData sheetId="107">
        <row r="19">
          <cell r="F19">
            <v>8.798558804205923</v>
          </cell>
        </row>
        <row r="20">
          <cell r="F20">
            <v>9.377704259474923</v>
          </cell>
        </row>
        <row r="21">
          <cell r="F21">
            <v>191567.3571500246</v>
          </cell>
        </row>
        <row r="86">
          <cell r="L86">
            <v>0.06451444077659274</v>
          </cell>
        </row>
      </sheetData>
      <sheetData sheetId="108">
        <row r="19">
          <cell r="F19">
            <v>8.803451087072943</v>
          </cell>
        </row>
        <row r="20">
          <cell r="F20">
            <v>9.381519875112161</v>
          </cell>
        </row>
        <row r="21">
          <cell r="F21">
            <v>1197007.4053724897</v>
          </cell>
        </row>
        <row r="86">
          <cell r="L86">
            <v>0.06432291233144682</v>
          </cell>
        </row>
      </sheetData>
      <sheetData sheetId="109">
        <row r="19">
          <cell r="F19">
            <v>8.817330252832189</v>
          </cell>
        </row>
        <row r="20">
          <cell r="F20">
            <v>9.392342854762914</v>
          </cell>
        </row>
        <row r="21">
          <cell r="F21">
            <v>2951614.4866810534</v>
          </cell>
        </row>
        <row r="86">
          <cell r="L86">
            <v>0.06377959386658394</v>
          </cell>
        </row>
      </sheetData>
      <sheetData sheetId="110">
        <row r="19">
          <cell r="F19">
            <v>8.755955302344685</v>
          </cell>
        </row>
        <row r="20">
          <cell r="F20">
            <v>9.428677293775008</v>
          </cell>
        </row>
        <row r="21">
          <cell r="F21">
            <v>154280.80977362217</v>
          </cell>
        </row>
        <row r="86">
          <cell r="L86">
            <v>0.05870057295879061</v>
          </cell>
        </row>
      </sheetData>
      <sheetData sheetId="111">
        <row r="19">
          <cell r="F19">
            <v>8.755955418385472</v>
          </cell>
        </row>
        <row r="20">
          <cell r="F20">
            <v>9.428677399220216</v>
          </cell>
        </row>
        <row r="21">
          <cell r="F21">
            <v>128749.16685493215</v>
          </cell>
        </row>
        <row r="86">
          <cell r="L86">
            <v>0.05870056793069156</v>
          </cell>
        </row>
      </sheetData>
      <sheetData sheetId="112">
        <row r="19">
          <cell r="F19">
            <v>8.755955139335004</v>
          </cell>
        </row>
        <row r="20">
          <cell r="F20">
            <v>9.428677145649598</v>
          </cell>
        </row>
        <row r="21">
          <cell r="F21">
            <v>91651.98996452813</v>
          </cell>
        </row>
        <row r="86">
          <cell r="L86">
            <v>0.058700580022073456</v>
          </cell>
        </row>
      </sheetData>
      <sheetData sheetId="113">
        <row r="19">
          <cell r="F19">
            <v>7.852771255172952</v>
          </cell>
        </row>
        <row r="20">
          <cell r="F20">
            <v>8.407317935672086</v>
          </cell>
        </row>
        <row r="21">
          <cell r="F21">
            <v>368066.2424144975</v>
          </cell>
        </row>
        <row r="86">
          <cell r="L86">
            <v>0.11537587851345843</v>
          </cell>
        </row>
      </sheetData>
      <sheetData sheetId="114">
        <row r="19">
          <cell r="F19">
            <v>7.839647225280429</v>
          </cell>
        </row>
        <row r="20">
          <cell r="F20">
            <v>8.39656723636507</v>
          </cell>
        </row>
        <row r="21">
          <cell r="F21">
            <v>475987.6286742238</v>
          </cell>
        </row>
        <row r="86">
          <cell r="L86">
            <v>0.1158193447061393</v>
          </cell>
        </row>
      </sheetData>
      <sheetData sheetId="115">
        <row r="19">
          <cell r="F19">
            <v>7.839647416458263</v>
          </cell>
        </row>
        <row r="20">
          <cell r="F20">
            <v>8.396567409604685</v>
          </cell>
        </row>
        <row r="21">
          <cell r="F21">
            <v>564133.4413916726</v>
          </cell>
        </row>
        <row r="86">
          <cell r="L86">
            <v>0.11581933538653755</v>
          </cell>
        </row>
      </sheetData>
      <sheetData sheetId="116">
        <row r="19">
          <cell r="F19">
            <v>7.839647225280429</v>
          </cell>
        </row>
        <row r="20">
          <cell r="F20">
            <v>8.39656723636507</v>
          </cell>
        </row>
        <row r="21">
          <cell r="F21">
            <v>475987.6286742238</v>
          </cell>
        </row>
        <row r="86">
          <cell r="L86">
            <v>0.1158193447061393</v>
          </cell>
        </row>
      </sheetData>
      <sheetData sheetId="117">
        <row r="19">
          <cell r="F19">
            <v>7.839647225280429</v>
          </cell>
        </row>
        <row r="20">
          <cell r="F20">
            <v>8.39656723636507</v>
          </cell>
        </row>
        <row r="21">
          <cell r="F21">
            <v>475987.6286742238</v>
          </cell>
        </row>
        <row r="86">
          <cell r="L86">
            <v>0.1158193447061393</v>
          </cell>
        </row>
      </sheetData>
      <sheetData sheetId="118">
        <row r="19">
          <cell r="F19">
            <v>7.907486169469645</v>
          </cell>
        </row>
        <row r="20">
          <cell r="F20">
            <v>8.451991497007413</v>
          </cell>
        </row>
        <row r="21">
          <cell r="F21">
            <v>4070999.1821731445</v>
          </cell>
        </row>
        <row r="86">
          <cell r="L86">
            <v>0.1135416937419409</v>
          </cell>
        </row>
      </sheetData>
      <sheetData sheetId="119">
        <row r="19">
          <cell r="F19">
            <v>8.824747444989768</v>
          </cell>
        </row>
        <row r="20">
          <cell r="F20">
            <v>9.484937991763617</v>
          </cell>
        </row>
        <row r="21">
          <cell r="F21">
            <v>281711.5759676401</v>
          </cell>
        </row>
        <row r="86">
          <cell r="L86">
            <v>0.05616891491150988</v>
          </cell>
        </row>
      </sheetData>
      <sheetData sheetId="120">
        <row r="19">
          <cell r="F19">
            <v>8.824590972219799</v>
          </cell>
        </row>
        <row r="20">
          <cell r="F20">
            <v>9.484792428625365</v>
          </cell>
        </row>
        <row r="21">
          <cell r="F21">
            <v>31495.95912900674</v>
          </cell>
        </row>
        <row r="86">
          <cell r="L86">
            <v>0.05617588602012691</v>
          </cell>
        </row>
      </sheetData>
      <sheetData sheetId="121">
        <row r="19">
          <cell r="F19">
            <v>8.824812726383536</v>
          </cell>
        </row>
        <row r="20">
          <cell r="F20">
            <v>9.484998721172726</v>
          </cell>
        </row>
        <row r="21">
          <cell r="F21">
            <v>66275.81488135431</v>
          </cell>
        </row>
        <row r="86">
          <cell r="L86">
            <v>0.056166006915274735</v>
          </cell>
        </row>
      </sheetData>
      <sheetData sheetId="122">
        <row r="19">
          <cell r="F19">
            <v>8.824590972219799</v>
          </cell>
        </row>
        <row r="20">
          <cell r="F20">
            <v>9.484792428625365</v>
          </cell>
        </row>
        <row r="21">
          <cell r="F21">
            <v>31495.95912900674</v>
          </cell>
        </row>
        <row r="86">
          <cell r="L86">
            <v>0.05617588602012691</v>
          </cell>
        </row>
      </sheetData>
      <sheetData sheetId="123">
        <row r="19">
          <cell r="F19">
            <v>8.82474448596216</v>
          </cell>
        </row>
        <row r="20">
          <cell r="F20">
            <v>9.484935236142169</v>
          </cell>
        </row>
        <row r="21">
          <cell r="F21">
            <v>190570.76007992416</v>
          </cell>
        </row>
        <row r="86">
          <cell r="L86">
            <v>0.056169047091709556</v>
          </cell>
        </row>
      </sheetData>
      <sheetData sheetId="124">
        <row r="19">
          <cell r="F19">
            <v>8.824594280390162</v>
          </cell>
        </row>
        <row r="20">
          <cell r="F20">
            <v>9.484795497384363</v>
          </cell>
        </row>
        <row r="21">
          <cell r="F21">
            <v>48072.493133247895</v>
          </cell>
        </row>
        <row r="86">
          <cell r="L86">
            <v>0.05617573971611822</v>
          </cell>
        </row>
      </sheetData>
      <sheetData sheetId="125">
        <row r="19">
          <cell r="F19">
            <v>8.824761766592681</v>
          </cell>
        </row>
        <row r="20">
          <cell r="F20">
            <v>9.484951310092699</v>
          </cell>
        </row>
        <row r="21">
          <cell r="F21">
            <v>87825.13682639373</v>
          </cell>
        </row>
        <row r="86">
          <cell r="L86">
            <v>0.056168277509093256</v>
          </cell>
        </row>
      </sheetData>
      <sheetData sheetId="126">
        <row r="19">
          <cell r="F19">
            <v>8.824695441329755</v>
          </cell>
        </row>
        <row r="20">
          <cell r="F20">
            <v>9.484889607561428</v>
          </cell>
        </row>
        <row r="21">
          <cell r="F21">
            <v>140871.47920281094</v>
          </cell>
        </row>
        <row r="86">
          <cell r="L86">
            <v>0.05617123242008848</v>
          </cell>
        </row>
      </sheetData>
      <sheetData sheetId="127">
        <row r="19">
          <cell r="F19">
            <v>9.15890347149151</v>
          </cell>
        </row>
        <row r="20">
          <cell r="F20">
            <v>9.886460638877693</v>
          </cell>
        </row>
        <row r="21">
          <cell r="F21">
            <v>7664.88670393965</v>
          </cell>
        </row>
        <row r="86">
          <cell r="L86">
            <v>0.03868942004141762</v>
          </cell>
        </row>
      </sheetData>
      <sheetData sheetId="128">
        <row r="19">
          <cell r="F19">
            <v>8.824843036234148</v>
          </cell>
        </row>
        <row r="20">
          <cell r="F20">
            <v>9.485026922584398</v>
          </cell>
        </row>
        <row r="21">
          <cell r="F21">
            <v>57987.5478792339</v>
          </cell>
        </row>
        <row r="86">
          <cell r="L86">
            <v>0.05616465618878497</v>
          </cell>
        </row>
      </sheetData>
      <sheetData sheetId="129">
        <row r="19">
          <cell r="F19">
            <v>8.82459488457758</v>
          </cell>
        </row>
        <row r="20">
          <cell r="F20">
            <v>9.484796072376026</v>
          </cell>
        </row>
        <row r="21">
          <cell r="F21">
            <v>36468.74706980481</v>
          </cell>
        </row>
        <row r="86">
          <cell r="L86">
            <v>0.05617571118421205</v>
          </cell>
        </row>
      </sheetData>
      <sheetData sheetId="130">
        <row r="19">
          <cell r="F19">
            <v>8.82459488457758</v>
          </cell>
        </row>
        <row r="20">
          <cell r="F20">
            <v>9.484796072376026</v>
          </cell>
        </row>
        <row r="21">
          <cell r="F21">
            <v>36468.74706980481</v>
          </cell>
        </row>
        <row r="86">
          <cell r="L86">
            <v>0.05617571118421205</v>
          </cell>
        </row>
      </sheetData>
      <sheetData sheetId="131">
        <row r="19">
          <cell r="F19">
            <v>8.824725516384392</v>
          </cell>
        </row>
        <row r="20">
          <cell r="F20">
            <v>9.484917584573745</v>
          </cell>
        </row>
        <row r="21">
          <cell r="F21">
            <v>109375.52007380419</v>
          </cell>
        </row>
        <row r="86">
          <cell r="L86">
            <v>0.05616989272945827</v>
          </cell>
        </row>
      </sheetData>
      <sheetData sheetId="132">
        <row r="19">
          <cell r="F19">
            <v>8.824587545897222</v>
          </cell>
        </row>
        <row r="20">
          <cell r="F20">
            <v>9.484789250267866</v>
          </cell>
        </row>
        <row r="21">
          <cell r="F21">
            <v>46415.38425377221</v>
          </cell>
        </row>
        <row r="86">
          <cell r="L86">
            <v>0.05617603754950706</v>
          </cell>
        </row>
      </sheetData>
      <sheetData sheetId="133">
        <row r="19">
          <cell r="F19">
            <v>9.207681135661309</v>
          </cell>
        </row>
        <row r="20">
          <cell r="F20">
            <v>9.949605124163284</v>
          </cell>
        </row>
        <row r="21">
          <cell r="F21">
            <v>54927.207128995564</v>
          </cell>
        </row>
        <row r="86">
          <cell r="L86">
            <v>0.0362370900729756</v>
          </cell>
        </row>
      </sheetData>
      <sheetData sheetId="134">
        <row r="19">
          <cell r="F19">
            <v>9.207662054312992</v>
          </cell>
        </row>
        <row r="20">
          <cell r="F20">
            <v>9.94957720544062</v>
          </cell>
        </row>
        <row r="21">
          <cell r="F21">
            <v>8736.934037157713</v>
          </cell>
        </row>
        <row r="86">
          <cell r="L86">
            <v>0.03623817489401193</v>
          </cell>
        </row>
      </sheetData>
      <sheetData sheetId="135">
        <row r="19">
          <cell r="F19">
            <v>9.207690757553761</v>
          </cell>
        </row>
        <row r="20">
          <cell r="F20">
            <v>9.949619194479963</v>
          </cell>
        </row>
        <row r="21">
          <cell r="F21">
            <v>28441.402743294137</v>
          </cell>
        </row>
        <row r="86">
          <cell r="L86">
            <v>0.03623654336977222</v>
          </cell>
        </row>
      </sheetData>
      <sheetData sheetId="136">
        <row r="21">
          <cell r="F21">
            <v>33512.325313453795</v>
          </cell>
        </row>
      </sheetData>
      <sheetData sheetId="137">
        <row r="19">
          <cell r="F19">
            <v>9.207671998718103</v>
          </cell>
        </row>
        <row r="20">
          <cell r="F20">
            <v>9.949591755372554</v>
          </cell>
        </row>
        <row r="21">
          <cell r="F21">
            <v>54378.48528650426</v>
          </cell>
        </row>
        <row r="86">
          <cell r="L86">
            <v>0.036237609534657045</v>
          </cell>
        </row>
      </sheetData>
      <sheetData sheetId="138">
        <row r="19">
          <cell r="F19">
            <v>9.207695476128594</v>
          </cell>
        </row>
        <row r="20">
          <cell r="F20">
            <v>9.9496260969254</v>
          </cell>
        </row>
        <row r="21">
          <cell r="F21">
            <v>23369.39746716601</v>
          </cell>
        </row>
        <row r="86">
          <cell r="L86">
            <v>0.036236275171849686</v>
          </cell>
        </row>
      </sheetData>
      <sheetData sheetId="140">
        <row r="19">
          <cell r="F19">
            <v>7.924290410950415</v>
          </cell>
        </row>
        <row r="20">
          <cell r="F20">
            <v>8.4656645005434</v>
          </cell>
        </row>
        <row r="21">
          <cell r="F21">
            <v>1952331.284944905</v>
          </cell>
        </row>
        <row r="86">
          <cell r="L86">
            <v>0.11298306642330691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A183"/>
  <sheetViews>
    <sheetView tabSelected="1" view="pageBreakPreview" zoomScale="75" zoomScaleNormal="66" zoomScaleSheetLayoutView="75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2" width="38.625" style="2" customWidth="1"/>
    <col min="3" max="3" width="12.875" style="2" customWidth="1"/>
    <col min="4" max="5" width="11.25390625" style="3" customWidth="1"/>
    <col min="6" max="6" width="17.75390625" style="3" customWidth="1"/>
    <col min="7" max="7" width="18.375" style="3" customWidth="1"/>
    <col min="8" max="8" width="17.875" style="3" customWidth="1"/>
    <col min="9" max="9" width="17.875" style="4" customWidth="1"/>
    <col min="10" max="10" width="17.625" style="5" customWidth="1"/>
    <col min="11" max="11" width="10.75390625" style="6" customWidth="1"/>
    <col min="12" max="13" width="10.00390625" style="2" customWidth="1"/>
    <col min="14" max="14" width="11.00390625" style="2" customWidth="1"/>
    <col min="15" max="15" width="10.50390625" style="2" customWidth="1"/>
    <col min="16" max="19" width="9.25390625" style="2" customWidth="1"/>
    <col min="20" max="20" width="16.625" style="7" customWidth="1"/>
    <col min="21" max="22" width="14.375" style="7" customWidth="1"/>
    <col min="23" max="23" width="15.375" style="2" customWidth="1"/>
    <col min="24" max="24" width="13.75390625" style="2" customWidth="1"/>
    <col min="25" max="16384" width="9.00390625" style="2" customWidth="1"/>
  </cols>
  <sheetData>
    <row r="1" spans="8:23" ht="15.75">
      <c r="H1" s="8"/>
      <c r="I1" s="8"/>
      <c r="J1" s="8"/>
      <c r="K1" s="5"/>
      <c r="T1" s="2"/>
      <c r="U1" s="2"/>
      <c r="V1" s="2"/>
      <c r="W1" s="9"/>
    </row>
    <row r="2" spans="2:23" ht="15.75">
      <c r="B2" s="2" t="s">
        <v>37</v>
      </c>
      <c r="H2" s="8"/>
      <c r="I2" s="8"/>
      <c r="J2" s="8"/>
      <c r="K2" s="5"/>
      <c r="T2" s="2"/>
      <c r="U2" s="2"/>
      <c r="V2" s="2"/>
      <c r="W2" s="9" t="s">
        <v>38</v>
      </c>
    </row>
    <row r="3" spans="8:23" ht="15.75">
      <c r="H3" s="8"/>
      <c r="I3" s="8"/>
      <c r="J3" s="8"/>
      <c r="K3" s="5"/>
      <c r="T3" s="2"/>
      <c r="U3" s="2"/>
      <c r="V3" s="2"/>
      <c r="W3" s="9" t="s">
        <v>39</v>
      </c>
    </row>
    <row r="4" spans="8:23" ht="15.75">
      <c r="H4" s="8"/>
      <c r="I4" s="8"/>
      <c r="J4" s="8"/>
      <c r="K4" s="5"/>
      <c r="T4" s="2"/>
      <c r="U4" s="2"/>
      <c r="V4" s="2"/>
      <c r="W4" s="9" t="s">
        <v>40</v>
      </c>
    </row>
    <row r="5" spans="8:23" ht="15.75">
      <c r="H5" s="8"/>
      <c r="I5" s="8"/>
      <c r="J5" s="8"/>
      <c r="K5" s="5"/>
      <c r="T5" s="2"/>
      <c r="U5" s="2"/>
      <c r="V5" s="2"/>
      <c r="W5" s="9" t="s">
        <v>41</v>
      </c>
    </row>
    <row r="6" spans="8:23" ht="15.75">
      <c r="H6" s="8"/>
      <c r="I6" s="8"/>
      <c r="J6" s="8"/>
      <c r="K6" s="5"/>
      <c r="T6" s="2"/>
      <c r="U6" s="2"/>
      <c r="V6" s="2"/>
      <c r="W6" s="9"/>
    </row>
    <row r="7" spans="1:23" ht="15.75">
      <c r="A7" s="10" t="s">
        <v>42</v>
      </c>
      <c r="H7" s="8"/>
      <c r="I7" s="8"/>
      <c r="J7" s="8"/>
      <c r="K7" s="5"/>
      <c r="T7" s="2"/>
      <c r="U7" s="2"/>
      <c r="V7" s="2"/>
      <c r="W7" s="9"/>
    </row>
    <row r="8" spans="8:23" ht="15.75">
      <c r="H8" s="8"/>
      <c r="I8" s="8"/>
      <c r="J8" s="8"/>
      <c r="K8" s="5"/>
      <c r="T8" s="2"/>
      <c r="U8" s="2"/>
      <c r="V8" s="2"/>
      <c r="W8" s="9" t="s">
        <v>43</v>
      </c>
    </row>
    <row r="9" spans="8:23" ht="15.75">
      <c r="H9" s="8"/>
      <c r="I9" s="8"/>
      <c r="J9" s="8"/>
      <c r="K9" s="5"/>
      <c r="T9" s="2"/>
      <c r="U9" s="2"/>
      <c r="V9" s="2"/>
      <c r="W9" s="9" t="s">
        <v>44</v>
      </c>
    </row>
    <row r="10" spans="8:23" ht="15.75">
      <c r="H10" s="8"/>
      <c r="I10" s="8"/>
      <c r="J10" s="8"/>
      <c r="K10" s="5"/>
      <c r="T10" s="2"/>
      <c r="U10" s="664" t="s">
        <v>45</v>
      </c>
      <c r="V10" s="664"/>
      <c r="W10" s="664"/>
    </row>
    <row r="11" spans="8:23" ht="18.75" customHeight="1">
      <c r="H11" s="8"/>
      <c r="I11" s="8"/>
      <c r="J11" s="8"/>
      <c r="K11" s="5"/>
      <c r="T11" s="2"/>
      <c r="U11" s="664" t="s">
        <v>46</v>
      </c>
      <c r="V11" s="664"/>
      <c r="W11" s="664"/>
    </row>
    <row r="12" spans="8:23" ht="18.75">
      <c r="H12" s="8"/>
      <c r="I12" s="8"/>
      <c r="J12" s="8"/>
      <c r="K12" s="5"/>
      <c r="T12" s="2"/>
      <c r="U12" s="12"/>
      <c r="V12" s="12"/>
      <c r="W12" s="12"/>
    </row>
    <row r="13" spans="1:23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639" t="s">
        <v>47</v>
      </c>
    </row>
    <row r="14" spans="1:23" s="4" customFormat="1" ht="15.75">
      <c r="A14" s="14"/>
      <c r="J14" s="15"/>
      <c r="K14" s="15"/>
      <c r="T14" s="16"/>
      <c r="U14" s="16"/>
      <c r="V14" s="16"/>
      <c r="W14" s="16"/>
    </row>
    <row r="15" spans="1:23" s="4" customFormat="1" ht="21" customHeight="1">
      <c r="A15" s="663" t="s">
        <v>48</v>
      </c>
      <c r="B15" s="662" t="s">
        <v>49</v>
      </c>
      <c r="C15" s="662" t="s">
        <v>50</v>
      </c>
      <c r="D15" s="662" t="s">
        <v>51</v>
      </c>
      <c r="E15" s="662"/>
      <c r="F15" s="662" t="s">
        <v>52</v>
      </c>
      <c r="G15" s="662" t="s">
        <v>53</v>
      </c>
      <c r="H15" s="662" t="s">
        <v>54</v>
      </c>
      <c r="I15" s="662" t="s">
        <v>55</v>
      </c>
      <c r="J15" s="660" t="s">
        <v>56</v>
      </c>
      <c r="K15" s="660" t="s">
        <v>57</v>
      </c>
      <c r="L15" s="661" t="s">
        <v>58</v>
      </c>
      <c r="M15" s="661"/>
      <c r="N15" s="661"/>
      <c r="O15" s="661"/>
      <c r="P15" s="661"/>
      <c r="Q15" s="661"/>
      <c r="R15" s="661"/>
      <c r="S15" s="661"/>
      <c r="T15" s="665" t="s">
        <v>59</v>
      </c>
      <c r="U15" s="665"/>
      <c r="V15" s="665"/>
      <c r="W15" s="665"/>
    </row>
    <row r="16" spans="1:23" s="4" customFormat="1" ht="61.5" customHeight="1">
      <c r="A16" s="663"/>
      <c r="B16" s="662"/>
      <c r="C16" s="662"/>
      <c r="D16" s="662"/>
      <c r="E16" s="662"/>
      <c r="F16" s="662"/>
      <c r="G16" s="662"/>
      <c r="H16" s="662"/>
      <c r="I16" s="662"/>
      <c r="J16" s="660"/>
      <c r="K16" s="660"/>
      <c r="L16" s="666" t="s">
        <v>60</v>
      </c>
      <c r="M16" s="666"/>
      <c r="N16" s="666" t="s">
        <v>61</v>
      </c>
      <c r="O16" s="666"/>
      <c r="P16" s="666" t="s">
        <v>62</v>
      </c>
      <c r="Q16" s="666"/>
      <c r="R16" s="666" t="s">
        <v>63</v>
      </c>
      <c r="S16" s="666"/>
      <c r="T16" s="17" t="s">
        <v>64</v>
      </c>
      <c r="U16" s="17" t="s">
        <v>65</v>
      </c>
      <c r="V16" s="17" t="s">
        <v>66</v>
      </c>
      <c r="W16" s="18" t="s">
        <v>63</v>
      </c>
    </row>
    <row r="17" spans="1:23" s="4" customFormat="1" ht="38.25" customHeight="1">
      <c r="A17" s="663"/>
      <c r="B17" s="662"/>
      <c r="C17" s="19" t="s">
        <v>67</v>
      </c>
      <c r="D17" s="19" t="s">
        <v>68</v>
      </c>
      <c r="E17" s="19" t="s">
        <v>69</v>
      </c>
      <c r="F17" s="662"/>
      <c r="G17" s="662"/>
      <c r="H17" s="662"/>
      <c r="I17" s="19" t="s">
        <v>70</v>
      </c>
      <c r="J17" s="20" t="s">
        <v>70</v>
      </c>
      <c r="K17" s="20" t="s">
        <v>70</v>
      </c>
      <c r="L17" s="19" t="s">
        <v>68</v>
      </c>
      <c r="M17" s="19" t="s">
        <v>69</v>
      </c>
      <c r="N17" s="19" t="s">
        <v>68</v>
      </c>
      <c r="O17" s="19" t="s">
        <v>69</v>
      </c>
      <c r="P17" s="19" t="s">
        <v>68</v>
      </c>
      <c r="Q17" s="19" t="s">
        <v>69</v>
      </c>
      <c r="R17" s="19" t="s">
        <v>68</v>
      </c>
      <c r="S17" s="19" t="s">
        <v>69</v>
      </c>
      <c r="T17" s="19" t="s">
        <v>70</v>
      </c>
      <c r="U17" s="19" t="s">
        <v>70</v>
      </c>
      <c r="V17" s="19" t="s">
        <v>70</v>
      </c>
      <c r="W17" s="21" t="s">
        <v>70</v>
      </c>
    </row>
    <row r="18" spans="1:26" s="25" customFormat="1" ht="15.75">
      <c r="A18" s="22"/>
      <c r="B18" s="23" t="s">
        <v>71</v>
      </c>
      <c r="C18" s="23"/>
      <c r="D18" s="24">
        <f>D19+D145</f>
        <v>265.1</v>
      </c>
      <c r="E18" s="24">
        <f>E19+E145</f>
        <v>150.60000000000002</v>
      </c>
      <c r="F18" s="24">
        <f>F19+F145</f>
        <v>30.258000000000006</v>
      </c>
      <c r="G18" s="23"/>
      <c r="H18" s="23"/>
      <c r="I18" s="24">
        <f>I19+I145+I173</f>
        <v>351.53060000000005</v>
      </c>
      <c r="J18" s="24">
        <f>J19+J145+J173</f>
        <v>108.2622</v>
      </c>
      <c r="K18" s="24">
        <f>K19+K145+K173</f>
        <v>108.2622</v>
      </c>
      <c r="L18" s="24">
        <f aca="true" t="shared" si="0" ref="L18:Q18">L19+L145</f>
        <v>56.55</v>
      </c>
      <c r="M18" s="24">
        <f t="shared" si="0"/>
        <v>87.88000000000001</v>
      </c>
      <c r="N18" s="24">
        <f t="shared" si="0"/>
        <v>150.93999999999997</v>
      </c>
      <c r="O18" s="24">
        <f t="shared" si="0"/>
        <v>61.459999999999994</v>
      </c>
      <c r="P18" s="24">
        <f t="shared" si="0"/>
        <v>57.61</v>
      </c>
      <c r="Q18" s="24">
        <f t="shared" si="0"/>
        <v>1.26</v>
      </c>
      <c r="R18" s="24">
        <f>L18+N18+P18</f>
        <v>265.09999999999997</v>
      </c>
      <c r="S18" s="24">
        <f aca="true" t="shared" si="1" ref="S18:S26">M18+O18+Q18</f>
        <v>150.6</v>
      </c>
      <c r="T18" s="24">
        <f>T19+T145+T173</f>
        <v>70.63900000000001</v>
      </c>
      <c r="U18" s="24">
        <f>U19+U145+U173</f>
        <v>172.62919999999997</v>
      </c>
      <c r="V18" s="24">
        <f>V19+V145+V173</f>
        <v>108.2622</v>
      </c>
      <c r="W18" s="634">
        <f>SUM(T18:V18)</f>
        <v>351.5304</v>
      </c>
      <c r="X18" s="637"/>
      <c r="Y18" s="638"/>
      <c r="Z18" s="638"/>
    </row>
    <row r="19" spans="1:26" s="25" customFormat="1" ht="33.75" customHeight="1">
      <c r="A19" s="26" t="s">
        <v>72</v>
      </c>
      <c r="B19" s="17" t="s">
        <v>73</v>
      </c>
      <c r="C19" s="17"/>
      <c r="D19" s="17">
        <f>D20</f>
        <v>263.1</v>
      </c>
      <c r="E19" s="27">
        <f>E20</f>
        <v>136.98000000000002</v>
      </c>
      <c r="F19" s="27">
        <f>F20</f>
        <v>30.258000000000006</v>
      </c>
      <c r="G19" s="17"/>
      <c r="H19" s="17"/>
      <c r="I19" s="28">
        <f>I20+I139+I141+I143</f>
        <v>295.8466</v>
      </c>
      <c r="J19" s="28">
        <f>J20+J139+J141+J143</f>
        <v>98.6222</v>
      </c>
      <c r="K19" s="28">
        <f>K20+K139+K141+K143</f>
        <v>98.6222</v>
      </c>
      <c r="L19" s="17">
        <f aca="true" t="shared" si="2" ref="L19:Q19">L20</f>
        <v>56.55</v>
      </c>
      <c r="M19" s="17">
        <f t="shared" si="2"/>
        <v>84.82000000000001</v>
      </c>
      <c r="N19" s="17">
        <f t="shared" si="2"/>
        <v>148.93999999999997</v>
      </c>
      <c r="O19" s="17">
        <f t="shared" si="2"/>
        <v>51.67999999999999</v>
      </c>
      <c r="P19" s="17">
        <f t="shared" si="2"/>
        <v>57.61</v>
      </c>
      <c r="Q19" s="27">
        <f t="shared" si="2"/>
        <v>0.48000000000000004</v>
      </c>
      <c r="R19" s="17">
        <f>L19+N19+P19</f>
        <v>263.09999999999997</v>
      </c>
      <c r="S19" s="27">
        <f t="shared" si="1"/>
        <v>136.98</v>
      </c>
      <c r="T19" s="28">
        <f>SUM(T21:T138)</f>
        <v>64.25900000000001</v>
      </c>
      <c r="U19" s="28">
        <f>SUM(U21:U138)</f>
        <v>132.96519999999998</v>
      </c>
      <c r="V19" s="28">
        <f>V20</f>
        <v>98.6222</v>
      </c>
      <c r="W19" s="635">
        <f>SUM(T19:V19)</f>
        <v>295.8464</v>
      </c>
      <c r="X19" s="637"/>
      <c r="Y19" s="638"/>
      <c r="Z19" s="638"/>
    </row>
    <row r="20" spans="1:26" s="25" customFormat="1" ht="33.75" customHeight="1">
      <c r="A20" s="30" t="s">
        <v>74</v>
      </c>
      <c r="B20" s="31" t="s">
        <v>75</v>
      </c>
      <c r="C20" s="31"/>
      <c r="D20" s="31">
        <f>SUM(D21:D138)</f>
        <v>263.1</v>
      </c>
      <c r="E20" s="32">
        <f>SUM(E21:E138)</f>
        <v>136.98000000000002</v>
      </c>
      <c r="F20" s="32">
        <f>SUM(F21:F138)</f>
        <v>30.258000000000006</v>
      </c>
      <c r="G20" s="31"/>
      <c r="H20" s="31"/>
      <c r="I20" s="33">
        <f>SUM(I21:I138)</f>
        <v>295.8466</v>
      </c>
      <c r="J20" s="33">
        <f>SUM(J21:J138)</f>
        <v>98.6222</v>
      </c>
      <c r="K20" s="33">
        <f>SUM(K21:K138)</f>
        <v>98.6222</v>
      </c>
      <c r="L20" s="31">
        <f>SUM(L21:L128)</f>
        <v>56.55</v>
      </c>
      <c r="M20" s="31">
        <f>SUM(M21:M128)</f>
        <v>84.82000000000001</v>
      </c>
      <c r="N20" s="31">
        <f>SUM(N21:N138)</f>
        <v>148.93999999999997</v>
      </c>
      <c r="O20" s="31">
        <f>SUM(O21:O138)</f>
        <v>51.67999999999999</v>
      </c>
      <c r="P20" s="31">
        <f>SUM(P21:P138)</f>
        <v>57.61</v>
      </c>
      <c r="Q20" s="32">
        <f>SUM(Q21:Q138)</f>
        <v>0.48000000000000004</v>
      </c>
      <c r="R20" s="31">
        <f>L20+N20+P20</f>
        <v>263.09999999999997</v>
      </c>
      <c r="S20" s="32">
        <f t="shared" si="1"/>
        <v>136.98</v>
      </c>
      <c r="T20" s="33">
        <f>SUM(T21:T138)</f>
        <v>64.25900000000001</v>
      </c>
      <c r="U20" s="33">
        <f>SUM(U21:U138)</f>
        <v>132.96519999999998</v>
      </c>
      <c r="V20" s="33">
        <f>SUM(V21:V138)</f>
        <v>98.6222</v>
      </c>
      <c r="W20" s="636">
        <f>SUM(W21:W138)</f>
        <v>295.8464</v>
      </c>
      <c r="X20" s="637"/>
      <c r="Y20" s="638"/>
      <c r="Z20" s="637"/>
    </row>
    <row r="21" spans="1:27" s="4" customFormat="1" ht="33.75" customHeight="1">
      <c r="A21" s="34" t="s">
        <v>76</v>
      </c>
      <c r="B21" s="35" t="s">
        <v>77</v>
      </c>
      <c r="C21" s="36" t="s">
        <v>78</v>
      </c>
      <c r="D21" s="37"/>
      <c r="E21" s="37">
        <v>50.5</v>
      </c>
      <c r="F21" s="38">
        <v>0</v>
      </c>
      <c r="G21" s="37">
        <v>2014</v>
      </c>
      <c r="H21" s="37">
        <v>2016</v>
      </c>
      <c r="I21" s="39">
        <f>1.75+(1.94+0.51+2.37+0.59)*1.18+0.85+0.53+(11.44+0.657)*1.18+2.43</f>
        <v>26.21826</v>
      </c>
      <c r="J21" s="40">
        <f>V21</f>
        <v>16.70526</v>
      </c>
      <c r="K21" s="41">
        <f>V21</f>
        <v>16.70526</v>
      </c>
      <c r="L21" s="38"/>
      <c r="M21" s="37">
        <v>50.5</v>
      </c>
      <c r="N21" s="42"/>
      <c r="O21" s="42"/>
      <c r="P21" s="42"/>
      <c r="Q21" s="42"/>
      <c r="R21" s="38" t="s">
        <v>37</v>
      </c>
      <c r="S21" s="38">
        <f t="shared" si="1"/>
        <v>50.5</v>
      </c>
      <c r="T21" s="39">
        <v>1.75</v>
      </c>
      <c r="U21" s="43">
        <f>(1.94+0.51+2.37+0.59)*1.18+0.85+0.53</f>
        <v>7.7638</v>
      </c>
      <c r="V21" s="43">
        <f>(11.44+0.657+2.06)*1.18</f>
        <v>16.70526</v>
      </c>
      <c r="W21" s="44">
        <f aca="true" t="shared" si="3" ref="W21:W138">T21+U21+V21</f>
        <v>26.21906</v>
      </c>
      <c r="X21" s="637"/>
      <c r="Y21" s="15"/>
      <c r="Z21" s="46"/>
      <c r="AA21" s="47"/>
    </row>
    <row r="22" spans="1:26" s="4" customFormat="1" ht="33.75" customHeight="1">
      <c r="A22" s="48" t="s">
        <v>79</v>
      </c>
      <c r="B22" s="49" t="s">
        <v>80</v>
      </c>
      <c r="C22" s="36" t="s">
        <v>78</v>
      </c>
      <c r="D22" s="50"/>
      <c r="E22" s="50">
        <v>18.7</v>
      </c>
      <c r="F22" s="36">
        <v>0</v>
      </c>
      <c r="G22" s="50">
        <v>2014</v>
      </c>
      <c r="H22" s="50">
        <v>2016</v>
      </c>
      <c r="I22" s="51">
        <f>4.7+(1.39+0.08)*1.18</f>
        <v>6.4346</v>
      </c>
      <c r="J22" s="52">
        <f>V22</f>
        <v>1.7346</v>
      </c>
      <c r="K22" s="53">
        <f>V22</f>
        <v>1.7346</v>
      </c>
      <c r="L22" s="36"/>
      <c r="M22" s="50">
        <v>18.7</v>
      </c>
      <c r="N22" s="54"/>
      <c r="O22" s="54"/>
      <c r="P22" s="54"/>
      <c r="Q22" s="54"/>
      <c r="R22" s="36"/>
      <c r="S22" s="36">
        <f t="shared" si="1"/>
        <v>18.7</v>
      </c>
      <c r="T22" s="51">
        <v>4.704</v>
      </c>
      <c r="U22" s="55">
        <v>0</v>
      </c>
      <c r="V22" s="55">
        <f>(1.39+0.08)*1.18</f>
        <v>1.7346</v>
      </c>
      <c r="W22" s="56">
        <f t="shared" si="3"/>
        <v>6.438599999999999</v>
      </c>
      <c r="X22" s="637"/>
      <c r="Y22" s="15"/>
      <c r="Z22" s="46"/>
    </row>
    <row r="23" spans="1:26" s="4" customFormat="1" ht="33.75" customHeight="1">
      <c r="A23" s="48" t="s">
        <v>81</v>
      </c>
      <c r="B23" s="57" t="s">
        <v>82</v>
      </c>
      <c r="C23" s="36" t="s">
        <v>78</v>
      </c>
      <c r="D23" s="50"/>
      <c r="E23" s="50">
        <v>12.5</v>
      </c>
      <c r="F23" s="36">
        <v>0</v>
      </c>
      <c r="G23" s="50">
        <v>2014</v>
      </c>
      <c r="H23" s="50">
        <v>2014</v>
      </c>
      <c r="I23" s="51">
        <f>3.26+0.67</f>
        <v>3.9299999999999997</v>
      </c>
      <c r="J23" s="52">
        <f aca="true" t="shared" si="4" ref="J23:J86">V23</f>
        <v>0</v>
      </c>
      <c r="K23" s="53">
        <f aca="true" t="shared" si="5" ref="K23:K86">V23</f>
        <v>0</v>
      </c>
      <c r="L23" s="36"/>
      <c r="M23" s="50">
        <v>12.5</v>
      </c>
      <c r="N23" s="54"/>
      <c r="O23" s="54"/>
      <c r="P23" s="54"/>
      <c r="Q23" s="54"/>
      <c r="R23" s="36"/>
      <c r="S23" s="36">
        <f t="shared" si="1"/>
        <v>12.5</v>
      </c>
      <c r="T23" s="51">
        <f>3.26</f>
        <v>3.26</v>
      </c>
      <c r="U23" s="51">
        <v>0.665</v>
      </c>
      <c r="V23" s="55">
        <v>0</v>
      </c>
      <c r="W23" s="56">
        <f t="shared" si="3"/>
        <v>3.925</v>
      </c>
      <c r="X23" s="637"/>
      <c r="Y23" s="15"/>
      <c r="Z23" s="46"/>
    </row>
    <row r="24" spans="1:26" s="4" customFormat="1" ht="33.75" customHeight="1">
      <c r="A24" s="48" t="s">
        <v>83</v>
      </c>
      <c r="B24" s="58" t="s">
        <v>84</v>
      </c>
      <c r="C24" s="36" t="s">
        <v>78</v>
      </c>
      <c r="D24" s="50"/>
      <c r="E24" s="50">
        <v>1.52</v>
      </c>
      <c r="F24" s="59">
        <v>1.236</v>
      </c>
      <c r="G24" s="50">
        <v>2014</v>
      </c>
      <c r="H24" s="50">
        <v>2014</v>
      </c>
      <c r="I24" s="51">
        <v>0.81</v>
      </c>
      <c r="J24" s="52">
        <f t="shared" si="4"/>
        <v>0</v>
      </c>
      <c r="K24" s="53">
        <f t="shared" si="5"/>
        <v>0</v>
      </c>
      <c r="L24" s="36"/>
      <c r="M24" s="50">
        <v>1.52</v>
      </c>
      <c r="N24" s="54"/>
      <c r="O24" s="54"/>
      <c r="P24" s="54"/>
      <c r="Q24" s="54"/>
      <c r="R24" s="36"/>
      <c r="S24" s="36">
        <f t="shared" si="1"/>
        <v>1.52</v>
      </c>
      <c r="T24" s="51">
        <v>0.81</v>
      </c>
      <c r="U24" s="55">
        <v>0</v>
      </c>
      <c r="V24" s="55">
        <v>0</v>
      </c>
      <c r="W24" s="56">
        <f t="shared" si="3"/>
        <v>0.81</v>
      </c>
      <c r="X24" s="637"/>
      <c r="Y24" s="15"/>
      <c r="Z24" s="46"/>
    </row>
    <row r="25" spans="1:26" s="4" customFormat="1" ht="33.75" customHeight="1">
      <c r="A25" s="48" t="s">
        <v>85</v>
      </c>
      <c r="B25" s="58" t="s">
        <v>86</v>
      </c>
      <c r="C25" s="36" t="s">
        <v>78</v>
      </c>
      <c r="D25" s="50"/>
      <c r="E25" s="50">
        <v>0.56</v>
      </c>
      <c r="F25" s="59">
        <v>1.137</v>
      </c>
      <c r="G25" s="50">
        <v>2014</v>
      </c>
      <c r="H25" s="50">
        <v>2014</v>
      </c>
      <c r="I25" s="51">
        <v>0.315</v>
      </c>
      <c r="J25" s="52">
        <f t="shared" si="4"/>
        <v>0</v>
      </c>
      <c r="K25" s="53">
        <f t="shared" si="5"/>
        <v>0</v>
      </c>
      <c r="L25" s="36"/>
      <c r="M25" s="50">
        <v>0.56</v>
      </c>
      <c r="N25" s="54"/>
      <c r="O25" s="54"/>
      <c r="P25" s="54"/>
      <c r="Q25" s="54"/>
      <c r="R25" s="36"/>
      <c r="S25" s="36">
        <f t="shared" si="1"/>
        <v>0.56</v>
      </c>
      <c r="T25" s="51">
        <v>0.315</v>
      </c>
      <c r="U25" s="55">
        <v>0</v>
      </c>
      <c r="V25" s="55">
        <v>0</v>
      </c>
      <c r="W25" s="56">
        <f t="shared" si="3"/>
        <v>0.315</v>
      </c>
      <c r="X25" s="637"/>
      <c r="Y25" s="15"/>
      <c r="Z25" s="46"/>
    </row>
    <row r="26" spans="1:26" s="4" customFormat="1" ht="33.75" customHeight="1">
      <c r="A26" s="48" t="s">
        <v>87</v>
      </c>
      <c r="B26" s="49" t="s">
        <v>88</v>
      </c>
      <c r="C26" s="36" t="s">
        <v>78</v>
      </c>
      <c r="D26" s="50"/>
      <c r="E26" s="50">
        <v>0.34</v>
      </c>
      <c r="F26" s="59">
        <v>0.074</v>
      </c>
      <c r="G26" s="50">
        <v>2014</v>
      </c>
      <c r="H26" s="50">
        <v>2014</v>
      </c>
      <c r="I26" s="51">
        <v>0.27</v>
      </c>
      <c r="J26" s="52">
        <f t="shared" si="4"/>
        <v>0</v>
      </c>
      <c r="K26" s="53">
        <f t="shared" si="5"/>
        <v>0</v>
      </c>
      <c r="L26" s="36"/>
      <c r="M26" s="50">
        <v>0.34</v>
      </c>
      <c r="N26" s="54"/>
      <c r="O26" s="54"/>
      <c r="P26" s="54"/>
      <c r="Q26" s="54"/>
      <c r="R26" s="36"/>
      <c r="S26" s="36">
        <f t="shared" si="1"/>
        <v>0.34</v>
      </c>
      <c r="T26" s="51">
        <v>0.27</v>
      </c>
      <c r="U26" s="55">
        <v>0</v>
      </c>
      <c r="V26" s="55">
        <v>0</v>
      </c>
      <c r="W26" s="56">
        <f t="shared" si="3"/>
        <v>0.27</v>
      </c>
      <c r="X26" s="637"/>
      <c r="Y26" s="15"/>
      <c r="Z26" s="46"/>
    </row>
    <row r="27" spans="1:26" s="4" customFormat="1" ht="33.75" customHeight="1">
      <c r="A27" s="48" t="s">
        <v>89</v>
      </c>
      <c r="B27" s="60" t="s">
        <v>90</v>
      </c>
      <c r="C27" s="36" t="s">
        <v>78</v>
      </c>
      <c r="D27" s="50">
        <v>0.4</v>
      </c>
      <c r="E27" s="50"/>
      <c r="F27" s="36">
        <v>0</v>
      </c>
      <c r="G27" s="50">
        <v>2014</v>
      </c>
      <c r="H27" s="50">
        <v>2014</v>
      </c>
      <c r="I27" s="51">
        <v>0.59</v>
      </c>
      <c r="J27" s="52">
        <f t="shared" si="4"/>
        <v>0</v>
      </c>
      <c r="K27" s="53">
        <f t="shared" si="5"/>
        <v>0</v>
      </c>
      <c r="L27" s="50">
        <v>0.4</v>
      </c>
      <c r="M27" s="36"/>
      <c r="N27" s="54"/>
      <c r="O27" s="54"/>
      <c r="P27" s="54"/>
      <c r="Q27" s="54"/>
      <c r="R27" s="36">
        <f>L27+N27+P27</f>
        <v>0.4</v>
      </c>
      <c r="S27" s="36"/>
      <c r="T27" s="51">
        <f>I27</f>
        <v>0.59</v>
      </c>
      <c r="U27" s="55">
        <v>0</v>
      </c>
      <c r="V27" s="55">
        <v>0</v>
      </c>
      <c r="W27" s="56">
        <f t="shared" si="3"/>
        <v>0.59</v>
      </c>
      <c r="X27" s="637"/>
      <c r="Y27" s="15"/>
      <c r="Z27" s="46"/>
    </row>
    <row r="28" spans="1:26" ht="15.75">
      <c r="A28" s="48" t="s">
        <v>91</v>
      </c>
      <c r="B28" s="58" t="s">
        <v>92</v>
      </c>
      <c r="C28" s="36" t="s">
        <v>78</v>
      </c>
      <c r="D28" s="50" t="s">
        <v>37</v>
      </c>
      <c r="E28" s="50">
        <v>0.7</v>
      </c>
      <c r="F28" s="36">
        <v>0</v>
      </c>
      <c r="G28" s="50">
        <v>2014</v>
      </c>
      <c r="H28" s="50">
        <v>2015</v>
      </c>
      <c r="I28" s="51">
        <v>1.75</v>
      </c>
      <c r="J28" s="52">
        <f t="shared" si="4"/>
        <v>0</v>
      </c>
      <c r="K28" s="53">
        <f t="shared" si="5"/>
        <v>0</v>
      </c>
      <c r="L28" s="50" t="s">
        <v>37</v>
      </c>
      <c r="M28" s="36">
        <v>0.7</v>
      </c>
      <c r="N28" s="54"/>
      <c r="O28" s="54"/>
      <c r="P28" s="54"/>
      <c r="Q28" s="54"/>
      <c r="R28" s="36">
        <v>0</v>
      </c>
      <c r="S28" s="36">
        <f>M28+O28+Q28</f>
        <v>0.7</v>
      </c>
      <c r="T28" s="51">
        <v>1.75</v>
      </c>
      <c r="U28" s="51">
        <v>0</v>
      </c>
      <c r="V28" s="55">
        <v>0</v>
      </c>
      <c r="W28" s="56">
        <f t="shared" si="3"/>
        <v>1.75</v>
      </c>
      <c r="X28" s="637"/>
      <c r="Y28" s="15"/>
      <c r="Z28" s="46"/>
    </row>
    <row r="29" spans="1:26" s="4" customFormat="1" ht="33.75" customHeight="1">
      <c r="A29" s="48" t="s">
        <v>93</v>
      </c>
      <c r="B29" s="61" t="s">
        <v>94</v>
      </c>
      <c r="C29" s="36" t="s">
        <v>78</v>
      </c>
      <c r="D29" s="50">
        <v>2</v>
      </c>
      <c r="E29" s="50"/>
      <c r="F29" s="36">
        <v>0</v>
      </c>
      <c r="G29" s="50">
        <v>2014</v>
      </c>
      <c r="H29" s="50">
        <v>2015</v>
      </c>
      <c r="I29" s="51">
        <f>1.72+0.17</f>
        <v>1.89</v>
      </c>
      <c r="J29" s="52">
        <f t="shared" si="4"/>
        <v>0</v>
      </c>
      <c r="K29" s="53">
        <f t="shared" si="5"/>
        <v>0</v>
      </c>
      <c r="L29" s="50">
        <v>2</v>
      </c>
      <c r="M29" s="36"/>
      <c r="N29" s="54"/>
      <c r="O29" s="54"/>
      <c r="P29" s="54"/>
      <c r="Q29" s="54"/>
      <c r="R29" s="36">
        <f aca="true" t="shared" si="6" ref="R29:R46">L29+N29+P29</f>
        <v>2</v>
      </c>
      <c r="S29" s="36"/>
      <c r="T29" s="51">
        <v>1.72</v>
      </c>
      <c r="U29" s="51">
        <v>0.17</v>
      </c>
      <c r="V29" s="55">
        <v>0</v>
      </c>
      <c r="W29" s="56">
        <f t="shared" si="3"/>
        <v>1.89</v>
      </c>
      <c r="X29" s="637"/>
      <c r="Y29" s="15"/>
      <c r="Z29" s="46"/>
    </row>
    <row r="30" spans="1:26" s="4" customFormat="1" ht="33.75" customHeight="1">
      <c r="A30" s="48" t="s">
        <v>95</v>
      </c>
      <c r="B30" s="61" t="s">
        <v>96</v>
      </c>
      <c r="C30" s="36" t="s">
        <v>78</v>
      </c>
      <c r="D30" s="50">
        <v>2</v>
      </c>
      <c r="E30" s="50"/>
      <c r="F30" s="36">
        <v>0</v>
      </c>
      <c r="G30" s="50">
        <v>2014</v>
      </c>
      <c r="H30" s="50">
        <v>2015</v>
      </c>
      <c r="I30" s="51">
        <f>1.72+(0.32+0.03)*1.18</f>
        <v>2.133</v>
      </c>
      <c r="J30" s="52">
        <f t="shared" si="4"/>
        <v>0</v>
      </c>
      <c r="K30" s="53">
        <f t="shared" si="5"/>
        <v>0</v>
      </c>
      <c r="L30" s="50">
        <v>2</v>
      </c>
      <c r="M30" s="36"/>
      <c r="N30" s="54"/>
      <c r="O30" s="54"/>
      <c r="P30" s="54"/>
      <c r="Q30" s="54"/>
      <c r="R30" s="36">
        <f t="shared" si="6"/>
        <v>2</v>
      </c>
      <c r="S30" s="36"/>
      <c r="T30" s="51">
        <v>1.72</v>
      </c>
      <c r="U30" s="51">
        <f>(0.32+0.03)*1.18</f>
        <v>0.413</v>
      </c>
      <c r="V30" s="55">
        <v>0</v>
      </c>
      <c r="W30" s="56">
        <f t="shared" si="3"/>
        <v>2.133</v>
      </c>
      <c r="X30" s="637"/>
      <c r="Y30" s="15"/>
      <c r="Z30" s="46"/>
    </row>
    <row r="31" spans="1:26" s="4" customFormat="1" ht="33.75" customHeight="1">
      <c r="A31" s="48" t="s">
        <v>97</v>
      </c>
      <c r="B31" s="60" t="s">
        <v>98</v>
      </c>
      <c r="C31" s="36" t="s">
        <v>78</v>
      </c>
      <c r="D31" s="50">
        <v>2</v>
      </c>
      <c r="E31" s="50"/>
      <c r="F31" s="36">
        <v>0</v>
      </c>
      <c r="G31" s="50">
        <v>2014</v>
      </c>
      <c r="H31" s="50">
        <v>2014</v>
      </c>
      <c r="I31" s="51">
        <v>1.72</v>
      </c>
      <c r="J31" s="52">
        <f t="shared" si="4"/>
        <v>0</v>
      </c>
      <c r="K31" s="53">
        <f t="shared" si="5"/>
        <v>0</v>
      </c>
      <c r="L31" s="50">
        <v>2</v>
      </c>
      <c r="M31" s="36"/>
      <c r="N31" s="54"/>
      <c r="O31" s="54"/>
      <c r="P31" s="54"/>
      <c r="Q31" s="54"/>
      <c r="R31" s="36">
        <f t="shared" si="6"/>
        <v>2</v>
      </c>
      <c r="S31" s="36"/>
      <c r="T31" s="51">
        <f aca="true" t="shared" si="7" ref="T31:T45">I31</f>
        <v>1.72</v>
      </c>
      <c r="U31" s="55">
        <v>0</v>
      </c>
      <c r="V31" s="55">
        <v>0</v>
      </c>
      <c r="W31" s="56">
        <f t="shared" si="3"/>
        <v>1.72</v>
      </c>
      <c r="X31" s="637"/>
      <c r="Y31" s="15"/>
      <c r="Z31" s="46"/>
    </row>
    <row r="32" spans="1:26" s="4" customFormat="1" ht="33.75" customHeight="1">
      <c r="A32" s="48" t="s">
        <v>99</v>
      </c>
      <c r="B32" s="60" t="s">
        <v>100</v>
      </c>
      <c r="C32" s="36" t="s">
        <v>78</v>
      </c>
      <c r="D32" s="50">
        <v>2</v>
      </c>
      <c r="E32" s="50"/>
      <c r="F32" s="36">
        <v>0</v>
      </c>
      <c r="G32" s="50">
        <v>2014</v>
      </c>
      <c r="H32" s="50">
        <v>2014</v>
      </c>
      <c r="I32" s="51">
        <v>1.72</v>
      </c>
      <c r="J32" s="52">
        <f t="shared" si="4"/>
        <v>0</v>
      </c>
      <c r="K32" s="53">
        <f t="shared" si="5"/>
        <v>0</v>
      </c>
      <c r="L32" s="50">
        <v>2</v>
      </c>
      <c r="M32" s="36"/>
      <c r="N32" s="54"/>
      <c r="O32" s="54"/>
      <c r="P32" s="54"/>
      <c r="Q32" s="54"/>
      <c r="R32" s="36">
        <f t="shared" si="6"/>
        <v>2</v>
      </c>
      <c r="S32" s="36"/>
      <c r="T32" s="51">
        <f t="shared" si="7"/>
        <v>1.72</v>
      </c>
      <c r="U32" s="55">
        <v>0</v>
      </c>
      <c r="V32" s="55">
        <v>0</v>
      </c>
      <c r="W32" s="56">
        <f t="shared" si="3"/>
        <v>1.72</v>
      </c>
      <c r="X32" s="637"/>
      <c r="Y32" s="15"/>
      <c r="Z32" s="46"/>
    </row>
    <row r="33" spans="1:26" s="4" customFormat="1" ht="33.75" customHeight="1">
      <c r="A33" s="48" t="s">
        <v>101</v>
      </c>
      <c r="B33" s="60" t="s">
        <v>102</v>
      </c>
      <c r="C33" s="36" t="s">
        <v>78</v>
      </c>
      <c r="D33" s="50">
        <v>2</v>
      </c>
      <c r="E33" s="50"/>
      <c r="F33" s="36">
        <v>0</v>
      </c>
      <c r="G33" s="50">
        <v>2014</v>
      </c>
      <c r="H33" s="50">
        <v>2014</v>
      </c>
      <c r="I33" s="51">
        <v>1.37</v>
      </c>
      <c r="J33" s="52">
        <f t="shared" si="4"/>
        <v>0</v>
      </c>
      <c r="K33" s="53">
        <f t="shared" si="5"/>
        <v>0</v>
      </c>
      <c r="L33" s="50">
        <v>2</v>
      </c>
      <c r="M33" s="36"/>
      <c r="N33" s="54"/>
      <c r="O33" s="54"/>
      <c r="P33" s="54"/>
      <c r="Q33" s="54"/>
      <c r="R33" s="36">
        <f t="shared" si="6"/>
        <v>2</v>
      </c>
      <c r="S33" s="36"/>
      <c r="T33" s="51">
        <f t="shared" si="7"/>
        <v>1.37</v>
      </c>
      <c r="U33" s="55">
        <v>0</v>
      </c>
      <c r="V33" s="55">
        <v>0</v>
      </c>
      <c r="W33" s="56">
        <f t="shared" si="3"/>
        <v>1.37</v>
      </c>
      <c r="X33" s="637"/>
      <c r="Y33" s="15"/>
      <c r="Z33" s="46"/>
    </row>
    <row r="34" spans="1:26" s="4" customFormat="1" ht="33.75" customHeight="1">
      <c r="A34" s="48" t="s">
        <v>103</v>
      </c>
      <c r="B34" s="61" t="s">
        <v>104</v>
      </c>
      <c r="C34" s="36" t="s">
        <v>78</v>
      </c>
      <c r="D34" s="50">
        <v>0.16</v>
      </c>
      <c r="E34" s="50"/>
      <c r="F34" s="36">
        <v>1.37</v>
      </c>
      <c r="G34" s="50">
        <v>2014</v>
      </c>
      <c r="H34" s="50">
        <v>2014</v>
      </c>
      <c r="I34" s="51">
        <v>0.85</v>
      </c>
      <c r="J34" s="52">
        <f t="shared" si="4"/>
        <v>0</v>
      </c>
      <c r="K34" s="53">
        <f t="shared" si="5"/>
        <v>0</v>
      </c>
      <c r="L34" s="50">
        <v>0.16</v>
      </c>
      <c r="M34" s="36"/>
      <c r="N34" s="54"/>
      <c r="O34" s="54"/>
      <c r="P34" s="54"/>
      <c r="Q34" s="54"/>
      <c r="R34" s="36">
        <f t="shared" si="6"/>
        <v>0.16</v>
      </c>
      <c r="S34" s="36"/>
      <c r="T34" s="51">
        <f t="shared" si="7"/>
        <v>0.85</v>
      </c>
      <c r="U34" s="55">
        <v>0</v>
      </c>
      <c r="V34" s="55">
        <v>0</v>
      </c>
      <c r="W34" s="56">
        <f t="shared" si="3"/>
        <v>0.85</v>
      </c>
      <c r="X34" s="637"/>
      <c r="Y34" s="15"/>
      <c r="Z34" s="46"/>
    </row>
    <row r="35" spans="1:26" s="4" customFormat="1" ht="33.75" customHeight="1">
      <c r="A35" s="48" t="s">
        <v>105</v>
      </c>
      <c r="B35" s="61" t="s">
        <v>106</v>
      </c>
      <c r="C35" s="36" t="s">
        <v>78</v>
      </c>
      <c r="D35" s="50">
        <v>0.16</v>
      </c>
      <c r="E35" s="50"/>
      <c r="F35" s="36">
        <v>1.42</v>
      </c>
      <c r="G35" s="50">
        <v>2014</v>
      </c>
      <c r="H35" s="50">
        <v>2014</v>
      </c>
      <c r="I35" s="51">
        <v>0.85</v>
      </c>
      <c r="J35" s="52">
        <f t="shared" si="4"/>
        <v>0</v>
      </c>
      <c r="K35" s="53">
        <f t="shared" si="5"/>
        <v>0</v>
      </c>
      <c r="L35" s="50">
        <v>0.16</v>
      </c>
      <c r="M35" s="36"/>
      <c r="N35" s="54"/>
      <c r="O35" s="54"/>
      <c r="P35" s="54"/>
      <c r="Q35" s="54"/>
      <c r="R35" s="36">
        <f t="shared" si="6"/>
        <v>0.16</v>
      </c>
      <c r="S35" s="36"/>
      <c r="T35" s="51">
        <f t="shared" si="7"/>
        <v>0.85</v>
      </c>
      <c r="U35" s="55">
        <v>0</v>
      </c>
      <c r="V35" s="55">
        <v>0</v>
      </c>
      <c r="W35" s="56">
        <f t="shared" si="3"/>
        <v>0.85</v>
      </c>
      <c r="X35" s="637"/>
      <c r="Y35" s="15"/>
      <c r="Z35" s="46"/>
    </row>
    <row r="36" spans="1:26" s="4" customFormat="1" ht="33.75" customHeight="1">
      <c r="A36" s="48" t="s">
        <v>107</v>
      </c>
      <c r="B36" s="49" t="s">
        <v>108</v>
      </c>
      <c r="C36" s="36" t="s">
        <v>78</v>
      </c>
      <c r="D36" s="50">
        <v>0.25</v>
      </c>
      <c r="E36" s="50"/>
      <c r="F36" s="36">
        <v>0</v>
      </c>
      <c r="G36" s="50">
        <v>2014</v>
      </c>
      <c r="H36" s="50">
        <v>2014</v>
      </c>
      <c r="I36" s="51">
        <v>0.51</v>
      </c>
      <c r="J36" s="52">
        <f t="shared" si="4"/>
        <v>0</v>
      </c>
      <c r="K36" s="53">
        <f t="shared" si="5"/>
        <v>0</v>
      </c>
      <c r="L36" s="50">
        <v>0.25</v>
      </c>
      <c r="M36" s="36"/>
      <c r="N36" s="54"/>
      <c r="O36" s="54"/>
      <c r="P36" s="54"/>
      <c r="Q36" s="54"/>
      <c r="R36" s="36">
        <f t="shared" si="6"/>
        <v>0.25</v>
      </c>
      <c r="S36" s="36"/>
      <c r="T36" s="51">
        <f t="shared" si="7"/>
        <v>0.51</v>
      </c>
      <c r="U36" s="55">
        <v>0</v>
      </c>
      <c r="V36" s="55">
        <v>0</v>
      </c>
      <c r="W36" s="56">
        <f t="shared" si="3"/>
        <v>0.51</v>
      </c>
      <c r="X36" s="637"/>
      <c r="Y36" s="15"/>
      <c r="Z36" s="46"/>
    </row>
    <row r="37" spans="1:26" s="4" customFormat="1" ht="33.75" customHeight="1">
      <c r="A37" s="48" t="s">
        <v>109</v>
      </c>
      <c r="B37" s="49" t="s">
        <v>110</v>
      </c>
      <c r="C37" s="36" t="s">
        <v>78</v>
      </c>
      <c r="D37" s="50">
        <v>0.25</v>
      </c>
      <c r="E37" s="50"/>
      <c r="F37" s="36">
        <v>0</v>
      </c>
      <c r="G37" s="50">
        <v>2014</v>
      </c>
      <c r="H37" s="50">
        <v>2014</v>
      </c>
      <c r="I37" s="51">
        <v>0.51</v>
      </c>
      <c r="J37" s="52">
        <f t="shared" si="4"/>
        <v>0</v>
      </c>
      <c r="K37" s="53">
        <f t="shared" si="5"/>
        <v>0</v>
      </c>
      <c r="L37" s="50">
        <v>0.25</v>
      </c>
      <c r="M37" s="36"/>
      <c r="N37" s="54"/>
      <c r="O37" s="54"/>
      <c r="P37" s="54"/>
      <c r="Q37" s="54"/>
      <c r="R37" s="36">
        <f t="shared" si="6"/>
        <v>0.25</v>
      </c>
      <c r="S37" s="36"/>
      <c r="T37" s="51">
        <f t="shared" si="7"/>
        <v>0.51</v>
      </c>
      <c r="U37" s="55">
        <v>0</v>
      </c>
      <c r="V37" s="55">
        <v>0</v>
      </c>
      <c r="W37" s="56">
        <f t="shared" si="3"/>
        <v>0.51</v>
      </c>
      <c r="X37" s="637"/>
      <c r="Y37" s="15"/>
      <c r="Z37" s="46"/>
    </row>
    <row r="38" spans="1:26" s="4" customFormat="1" ht="33.75" customHeight="1">
      <c r="A38" s="48" t="s">
        <v>111</v>
      </c>
      <c r="B38" s="49" t="s">
        <v>112</v>
      </c>
      <c r="C38" s="36" t="s">
        <v>78</v>
      </c>
      <c r="D38" s="50">
        <v>0.25</v>
      </c>
      <c r="E38" s="50"/>
      <c r="F38" s="36">
        <v>0</v>
      </c>
      <c r="G38" s="50">
        <v>2014</v>
      </c>
      <c r="H38" s="50">
        <v>2014</v>
      </c>
      <c r="I38" s="51">
        <v>0.51</v>
      </c>
      <c r="J38" s="52">
        <f t="shared" si="4"/>
        <v>0</v>
      </c>
      <c r="K38" s="53">
        <f t="shared" si="5"/>
        <v>0</v>
      </c>
      <c r="L38" s="50">
        <v>0.25</v>
      </c>
      <c r="M38" s="36"/>
      <c r="N38" s="54"/>
      <c r="O38" s="54"/>
      <c r="P38" s="54"/>
      <c r="Q38" s="54"/>
      <c r="R38" s="36">
        <f t="shared" si="6"/>
        <v>0.25</v>
      </c>
      <c r="S38" s="36"/>
      <c r="T38" s="51">
        <f t="shared" si="7"/>
        <v>0.51</v>
      </c>
      <c r="U38" s="55">
        <v>0</v>
      </c>
      <c r="V38" s="55">
        <v>0</v>
      </c>
      <c r="W38" s="56">
        <f t="shared" si="3"/>
        <v>0.51</v>
      </c>
      <c r="X38" s="637"/>
      <c r="Y38" s="15"/>
      <c r="Z38" s="46"/>
    </row>
    <row r="39" spans="1:26" s="4" customFormat="1" ht="33.75" customHeight="1">
      <c r="A39" s="48" t="s">
        <v>113</v>
      </c>
      <c r="B39" s="49" t="s">
        <v>114</v>
      </c>
      <c r="C39" s="36" t="s">
        <v>78</v>
      </c>
      <c r="D39" s="50">
        <v>0.5</v>
      </c>
      <c r="E39" s="50"/>
      <c r="F39" s="36">
        <v>0</v>
      </c>
      <c r="G39" s="50">
        <v>2014</v>
      </c>
      <c r="H39" s="50">
        <v>2014</v>
      </c>
      <c r="I39" s="51">
        <v>1.11</v>
      </c>
      <c r="J39" s="52">
        <f t="shared" si="4"/>
        <v>0</v>
      </c>
      <c r="K39" s="53">
        <f t="shared" si="5"/>
        <v>0</v>
      </c>
      <c r="L39" s="50">
        <v>0.5</v>
      </c>
      <c r="M39" s="36"/>
      <c r="N39" s="54"/>
      <c r="O39" s="54"/>
      <c r="P39" s="54"/>
      <c r="Q39" s="54"/>
      <c r="R39" s="36">
        <f t="shared" si="6"/>
        <v>0.5</v>
      </c>
      <c r="S39" s="36"/>
      <c r="T39" s="51">
        <f t="shared" si="7"/>
        <v>1.11</v>
      </c>
      <c r="U39" s="55">
        <v>0</v>
      </c>
      <c r="V39" s="55">
        <v>0</v>
      </c>
      <c r="W39" s="56">
        <f t="shared" si="3"/>
        <v>1.11</v>
      </c>
      <c r="X39" s="637"/>
      <c r="Y39" s="15"/>
      <c r="Z39" s="46"/>
    </row>
    <row r="40" spans="1:26" s="4" customFormat="1" ht="33.75" customHeight="1">
      <c r="A40" s="48" t="s">
        <v>115</v>
      </c>
      <c r="B40" s="60" t="s">
        <v>116</v>
      </c>
      <c r="C40" s="36" t="s">
        <v>78</v>
      </c>
      <c r="D40" s="50">
        <v>0.16</v>
      </c>
      <c r="E40" s="50"/>
      <c r="F40" s="36">
        <v>0</v>
      </c>
      <c r="G40" s="50">
        <v>2014</v>
      </c>
      <c r="H40" s="50">
        <v>2014</v>
      </c>
      <c r="I40" s="51">
        <v>0.51</v>
      </c>
      <c r="J40" s="52">
        <f t="shared" si="4"/>
        <v>0</v>
      </c>
      <c r="K40" s="53">
        <f t="shared" si="5"/>
        <v>0</v>
      </c>
      <c r="L40" s="50">
        <v>0.16</v>
      </c>
      <c r="M40" s="36"/>
      <c r="N40" s="54"/>
      <c r="O40" s="54"/>
      <c r="P40" s="54"/>
      <c r="Q40" s="54"/>
      <c r="R40" s="36">
        <f t="shared" si="6"/>
        <v>0.16</v>
      </c>
      <c r="S40" s="36"/>
      <c r="T40" s="51">
        <f t="shared" si="7"/>
        <v>0.51</v>
      </c>
      <c r="U40" s="55">
        <v>0</v>
      </c>
      <c r="V40" s="55">
        <v>0</v>
      </c>
      <c r="W40" s="56">
        <f t="shared" si="3"/>
        <v>0.51</v>
      </c>
      <c r="X40" s="637"/>
      <c r="Y40" s="15"/>
      <c r="Z40" s="46"/>
    </row>
    <row r="41" spans="1:26" s="4" customFormat="1" ht="33.75" customHeight="1">
      <c r="A41" s="48" t="s">
        <v>117</v>
      </c>
      <c r="B41" s="60" t="s">
        <v>118</v>
      </c>
      <c r="C41" s="36" t="s">
        <v>78</v>
      </c>
      <c r="D41" s="50">
        <v>1.26</v>
      </c>
      <c r="E41" s="50"/>
      <c r="F41" s="36">
        <v>0</v>
      </c>
      <c r="G41" s="50">
        <v>2014</v>
      </c>
      <c r="H41" s="50">
        <v>2014</v>
      </c>
      <c r="I41" s="51">
        <v>1.42</v>
      </c>
      <c r="J41" s="52">
        <f t="shared" si="4"/>
        <v>0</v>
      </c>
      <c r="K41" s="53">
        <f t="shared" si="5"/>
        <v>0</v>
      </c>
      <c r="L41" s="50">
        <v>1.26</v>
      </c>
      <c r="M41" s="36"/>
      <c r="N41" s="54"/>
      <c r="O41" s="54"/>
      <c r="P41" s="54"/>
      <c r="Q41" s="54"/>
      <c r="R41" s="36">
        <f t="shared" si="6"/>
        <v>1.26</v>
      </c>
      <c r="S41" s="36"/>
      <c r="T41" s="51">
        <f t="shared" si="7"/>
        <v>1.42</v>
      </c>
      <c r="U41" s="55">
        <v>0</v>
      </c>
      <c r="V41" s="55">
        <v>0</v>
      </c>
      <c r="W41" s="56">
        <f t="shared" si="3"/>
        <v>1.42</v>
      </c>
      <c r="X41" s="637"/>
      <c r="Y41" s="15"/>
      <c r="Z41" s="46"/>
    </row>
    <row r="42" spans="1:26" s="4" customFormat="1" ht="33.75" customHeight="1">
      <c r="A42" s="48" t="s">
        <v>119</v>
      </c>
      <c r="B42" s="60" t="s">
        <v>120</v>
      </c>
      <c r="C42" s="36" t="s">
        <v>78</v>
      </c>
      <c r="D42" s="50">
        <v>0.8</v>
      </c>
      <c r="E42" s="50"/>
      <c r="F42" s="36">
        <v>0</v>
      </c>
      <c r="G42" s="50">
        <v>2014</v>
      </c>
      <c r="H42" s="50">
        <v>2014</v>
      </c>
      <c r="I42" s="51">
        <v>1.22</v>
      </c>
      <c r="J42" s="52">
        <f t="shared" si="4"/>
        <v>0</v>
      </c>
      <c r="K42" s="53">
        <f t="shared" si="5"/>
        <v>0</v>
      </c>
      <c r="L42" s="50">
        <v>0.8</v>
      </c>
      <c r="M42" s="36"/>
      <c r="N42" s="54"/>
      <c r="O42" s="54"/>
      <c r="P42" s="54"/>
      <c r="Q42" s="54"/>
      <c r="R42" s="36">
        <f t="shared" si="6"/>
        <v>0.8</v>
      </c>
      <c r="S42" s="36"/>
      <c r="T42" s="51">
        <f t="shared" si="7"/>
        <v>1.22</v>
      </c>
      <c r="U42" s="55">
        <v>0</v>
      </c>
      <c r="V42" s="55">
        <v>0</v>
      </c>
      <c r="W42" s="56">
        <f t="shared" si="3"/>
        <v>1.22</v>
      </c>
      <c r="X42" s="637"/>
      <c r="Y42" s="15"/>
      <c r="Z42" s="46"/>
    </row>
    <row r="43" spans="1:26" s="4" customFormat="1" ht="33.75" customHeight="1">
      <c r="A43" s="48" t="s">
        <v>121</v>
      </c>
      <c r="B43" s="49" t="s">
        <v>122</v>
      </c>
      <c r="C43" s="36" t="s">
        <v>78</v>
      </c>
      <c r="D43" s="50">
        <v>8</v>
      </c>
      <c r="E43" s="50"/>
      <c r="F43" s="36">
        <v>0</v>
      </c>
      <c r="G43" s="50">
        <v>2014</v>
      </c>
      <c r="H43" s="50">
        <v>2014</v>
      </c>
      <c r="I43" s="51">
        <v>3.16</v>
      </c>
      <c r="J43" s="52">
        <f t="shared" si="4"/>
        <v>0</v>
      </c>
      <c r="K43" s="53">
        <f t="shared" si="5"/>
        <v>0</v>
      </c>
      <c r="L43" s="50">
        <v>8</v>
      </c>
      <c r="M43" s="36"/>
      <c r="N43" s="54"/>
      <c r="O43" s="54"/>
      <c r="P43" s="54"/>
      <c r="Q43" s="54"/>
      <c r="R43" s="36">
        <f t="shared" si="6"/>
        <v>8</v>
      </c>
      <c r="S43" s="36"/>
      <c r="T43" s="51">
        <f t="shared" si="7"/>
        <v>3.16</v>
      </c>
      <c r="U43" s="55">
        <v>0</v>
      </c>
      <c r="V43" s="55">
        <v>0</v>
      </c>
      <c r="W43" s="56">
        <f t="shared" si="3"/>
        <v>3.16</v>
      </c>
      <c r="X43" s="637"/>
      <c r="Y43" s="15"/>
      <c r="Z43" s="46"/>
    </row>
    <row r="44" spans="1:26" s="4" customFormat="1" ht="33.75" customHeight="1">
      <c r="A44" s="48" t="s">
        <v>123</v>
      </c>
      <c r="B44" s="58" t="s">
        <v>124</v>
      </c>
      <c r="C44" s="36" t="s">
        <v>78</v>
      </c>
      <c r="D44" s="50">
        <v>12.6</v>
      </c>
      <c r="E44" s="50"/>
      <c r="F44" s="36">
        <v>0</v>
      </c>
      <c r="G44" s="50">
        <v>2014</v>
      </c>
      <c r="H44" s="50">
        <v>2014</v>
      </c>
      <c r="I44" s="51">
        <v>4.63</v>
      </c>
      <c r="J44" s="52">
        <f t="shared" si="4"/>
        <v>0</v>
      </c>
      <c r="K44" s="53">
        <f t="shared" si="5"/>
        <v>0</v>
      </c>
      <c r="L44" s="50">
        <v>12.6</v>
      </c>
      <c r="M44" s="36"/>
      <c r="N44" s="54"/>
      <c r="O44" s="54"/>
      <c r="P44" s="54"/>
      <c r="Q44" s="54"/>
      <c r="R44" s="36">
        <f t="shared" si="6"/>
        <v>12.6</v>
      </c>
      <c r="S44" s="36"/>
      <c r="T44" s="51">
        <f t="shared" si="7"/>
        <v>4.63</v>
      </c>
      <c r="U44" s="55">
        <v>0</v>
      </c>
      <c r="V44" s="55">
        <v>0</v>
      </c>
      <c r="W44" s="56">
        <f t="shared" si="3"/>
        <v>4.63</v>
      </c>
      <c r="X44" s="637"/>
      <c r="Y44" s="15"/>
      <c r="Z44" s="46"/>
    </row>
    <row r="45" spans="1:26" s="4" customFormat="1" ht="33.75" customHeight="1">
      <c r="A45" s="48" t="s">
        <v>125</v>
      </c>
      <c r="B45" s="58" t="s">
        <v>126</v>
      </c>
      <c r="C45" s="36" t="s">
        <v>78</v>
      </c>
      <c r="D45" s="50">
        <v>7.9</v>
      </c>
      <c r="E45" s="50"/>
      <c r="F45" s="36">
        <v>0</v>
      </c>
      <c r="G45" s="50">
        <v>2014</v>
      </c>
      <c r="H45" s="50">
        <v>2014</v>
      </c>
      <c r="I45" s="51">
        <v>4</v>
      </c>
      <c r="J45" s="52">
        <f t="shared" si="4"/>
        <v>0</v>
      </c>
      <c r="K45" s="53">
        <f t="shared" si="5"/>
        <v>0</v>
      </c>
      <c r="L45" s="50">
        <v>7.9</v>
      </c>
      <c r="M45" s="36"/>
      <c r="N45" s="54"/>
      <c r="O45" s="54"/>
      <c r="P45" s="54"/>
      <c r="Q45" s="54"/>
      <c r="R45" s="36">
        <f t="shared" si="6"/>
        <v>7.9</v>
      </c>
      <c r="S45" s="36"/>
      <c r="T45" s="51">
        <f t="shared" si="7"/>
        <v>4</v>
      </c>
      <c r="U45" s="55">
        <v>0</v>
      </c>
      <c r="V45" s="55">
        <v>0</v>
      </c>
      <c r="W45" s="56">
        <f t="shared" si="3"/>
        <v>4</v>
      </c>
      <c r="X45" s="637"/>
      <c r="Y45" s="15"/>
      <c r="Z45" s="46"/>
    </row>
    <row r="46" spans="1:26" s="4" customFormat="1" ht="33.75" customHeight="1">
      <c r="A46" s="48" t="s">
        <v>127</v>
      </c>
      <c r="B46" s="58" t="s">
        <v>128</v>
      </c>
      <c r="C46" s="36" t="s">
        <v>78</v>
      </c>
      <c r="D46" s="50">
        <v>12.6</v>
      </c>
      <c r="E46" s="50"/>
      <c r="F46" s="36">
        <v>0</v>
      </c>
      <c r="G46" s="50">
        <v>2014</v>
      </c>
      <c r="H46" s="50">
        <v>2016</v>
      </c>
      <c r="I46" s="51">
        <f>16.99+(13.866+0.79)*1.18</f>
        <v>34.284079999999996</v>
      </c>
      <c r="J46" s="52">
        <f t="shared" si="4"/>
        <v>17.294079999999997</v>
      </c>
      <c r="K46" s="53">
        <f t="shared" si="5"/>
        <v>17.294079999999997</v>
      </c>
      <c r="L46" s="50">
        <v>12.6</v>
      </c>
      <c r="M46" s="36"/>
      <c r="N46" s="54"/>
      <c r="O46" s="54"/>
      <c r="P46" s="54"/>
      <c r="Q46" s="54"/>
      <c r="R46" s="36">
        <f t="shared" si="6"/>
        <v>12.6</v>
      </c>
      <c r="S46" s="36"/>
      <c r="T46" s="51">
        <f>16.99</f>
        <v>16.99</v>
      </c>
      <c r="U46" s="51">
        <v>0</v>
      </c>
      <c r="V46" s="51">
        <f>(13.866+0.79)*1.18</f>
        <v>17.294079999999997</v>
      </c>
      <c r="W46" s="56">
        <f t="shared" si="3"/>
        <v>34.284079999999996</v>
      </c>
      <c r="X46" s="637"/>
      <c r="Y46" s="15"/>
      <c r="Z46" s="46"/>
    </row>
    <row r="47" spans="1:26" s="4" customFormat="1" ht="15.75">
      <c r="A47" s="48" t="s">
        <v>129</v>
      </c>
      <c r="B47" s="62" t="s">
        <v>130</v>
      </c>
      <c r="C47" s="36" t="s">
        <v>78</v>
      </c>
      <c r="D47" s="63">
        <v>1.26</v>
      </c>
      <c r="E47" s="63"/>
      <c r="F47" s="63">
        <v>0</v>
      </c>
      <c r="G47" s="50">
        <v>2014</v>
      </c>
      <c r="H47" s="50">
        <v>2016</v>
      </c>
      <c r="I47" s="51">
        <f>4.46+(7.19+0.41)*1.18</f>
        <v>13.428</v>
      </c>
      <c r="J47" s="52">
        <f t="shared" si="4"/>
        <v>8.968</v>
      </c>
      <c r="K47" s="53">
        <f t="shared" si="5"/>
        <v>8.968</v>
      </c>
      <c r="L47" s="53">
        <v>1.26</v>
      </c>
      <c r="M47" s="64"/>
      <c r="N47" s="54"/>
      <c r="O47" s="54"/>
      <c r="P47" s="36" t="s">
        <v>37</v>
      </c>
      <c r="Q47" s="36"/>
      <c r="R47" s="36">
        <f>D47</f>
        <v>1.26</v>
      </c>
      <c r="S47" s="36">
        <f aca="true" t="shared" si="8" ref="S47:S54">M47+O47+Q47</f>
        <v>0</v>
      </c>
      <c r="T47" s="55">
        <v>4.46</v>
      </c>
      <c r="U47" s="55">
        <v>0</v>
      </c>
      <c r="V47" s="51">
        <f>(7.19+0.41)*1.18</f>
        <v>8.968</v>
      </c>
      <c r="W47" s="56">
        <f t="shared" si="3"/>
        <v>13.428</v>
      </c>
      <c r="X47" s="637"/>
      <c r="Y47" s="15"/>
      <c r="Z47" s="46"/>
    </row>
    <row r="48" spans="1:26" s="4" customFormat="1" ht="15.75">
      <c r="A48" s="48" t="s">
        <v>131</v>
      </c>
      <c r="B48" s="62" t="s">
        <v>132</v>
      </c>
      <c r="C48" s="36" t="s">
        <v>78</v>
      </c>
      <c r="D48" s="63">
        <v>0</v>
      </c>
      <c r="E48" s="63"/>
      <c r="F48" s="63">
        <v>0</v>
      </c>
      <c r="G48" s="50">
        <v>2014</v>
      </c>
      <c r="H48" s="50">
        <v>2014</v>
      </c>
      <c r="I48" s="51">
        <v>1.83</v>
      </c>
      <c r="J48" s="52">
        <f t="shared" si="4"/>
        <v>0</v>
      </c>
      <c r="K48" s="53">
        <f t="shared" si="5"/>
        <v>0</v>
      </c>
      <c r="L48" s="53">
        <v>0</v>
      </c>
      <c r="M48" s="64"/>
      <c r="N48" s="54"/>
      <c r="O48" s="54"/>
      <c r="P48" s="36" t="s">
        <v>37</v>
      </c>
      <c r="Q48" s="36"/>
      <c r="R48" s="36">
        <f>D48</f>
        <v>0</v>
      </c>
      <c r="S48" s="36">
        <f t="shared" si="8"/>
        <v>0</v>
      </c>
      <c r="T48" s="55">
        <v>1.83</v>
      </c>
      <c r="U48" s="55">
        <v>0</v>
      </c>
      <c r="V48" s="51">
        <v>0</v>
      </c>
      <c r="W48" s="56">
        <f t="shared" si="3"/>
        <v>1.83</v>
      </c>
      <c r="X48" s="637"/>
      <c r="Y48" s="15"/>
      <c r="Z48" s="46"/>
    </row>
    <row r="49" spans="1:26" s="4" customFormat="1" ht="15.75">
      <c r="A49" s="48" t="s">
        <v>133</v>
      </c>
      <c r="B49" s="58" t="s">
        <v>134</v>
      </c>
      <c r="C49" s="36" t="s">
        <v>78</v>
      </c>
      <c r="D49" s="36"/>
      <c r="E49" s="36">
        <v>0.89</v>
      </c>
      <c r="F49" s="36">
        <v>0</v>
      </c>
      <c r="G49" s="50">
        <v>2015</v>
      </c>
      <c r="H49" s="50">
        <v>2015</v>
      </c>
      <c r="I49" s="51">
        <f>1.25</f>
        <v>1.25</v>
      </c>
      <c r="J49" s="52">
        <f t="shared" si="4"/>
        <v>0</v>
      </c>
      <c r="K49" s="53">
        <f t="shared" si="5"/>
        <v>0</v>
      </c>
      <c r="L49" s="64"/>
      <c r="M49" s="64"/>
      <c r="N49" s="36"/>
      <c r="O49" s="36">
        <f aca="true" t="shared" si="9" ref="O49:O54">E49</f>
        <v>0.89</v>
      </c>
      <c r="P49" s="54"/>
      <c r="Q49" s="54"/>
      <c r="R49" s="36">
        <f aca="true" t="shared" si="10" ref="R49:R125">L49+N49+P49</f>
        <v>0</v>
      </c>
      <c r="S49" s="36">
        <f t="shared" si="8"/>
        <v>0.89</v>
      </c>
      <c r="T49" s="55">
        <v>0</v>
      </c>
      <c r="U49" s="51">
        <f aca="true" t="shared" si="11" ref="U49:U83">I49</f>
        <v>1.25</v>
      </c>
      <c r="V49" s="55">
        <v>0</v>
      </c>
      <c r="W49" s="56">
        <f t="shared" si="3"/>
        <v>1.25</v>
      </c>
      <c r="X49" s="637"/>
      <c r="Y49" s="15"/>
      <c r="Z49" s="46"/>
    </row>
    <row r="50" spans="1:26" s="4" customFormat="1" ht="36.75" customHeight="1">
      <c r="A50" s="48" t="s">
        <v>135</v>
      </c>
      <c r="B50" s="58" t="s">
        <v>136</v>
      </c>
      <c r="C50" s="36" t="s">
        <v>78</v>
      </c>
      <c r="D50" s="36"/>
      <c r="E50" s="36">
        <v>3.14</v>
      </c>
      <c r="F50" s="36">
        <v>0</v>
      </c>
      <c r="G50" s="50">
        <v>2015</v>
      </c>
      <c r="H50" s="50">
        <v>2015</v>
      </c>
      <c r="I50" s="51">
        <v>1.17</v>
      </c>
      <c r="J50" s="52">
        <f t="shared" si="4"/>
        <v>0</v>
      </c>
      <c r="K50" s="53">
        <f t="shared" si="5"/>
        <v>0</v>
      </c>
      <c r="L50" s="64"/>
      <c r="M50" s="64"/>
      <c r="N50" s="36"/>
      <c r="O50" s="36">
        <f t="shared" si="9"/>
        <v>3.14</v>
      </c>
      <c r="P50" s="54"/>
      <c r="Q50" s="54"/>
      <c r="R50" s="36">
        <f t="shared" si="10"/>
        <v>0</v>
      </c>
      <c r="S50" s="36">
        <f t="shared" si="8"/>
        <v>3.14</v>
      </c>
      <c r="T50" s="55">
        <v>0</v>
      </c>
      <c r="U50" s="51">
        <f t="shared" si="11"/>
        <v>1.17</v>
      </c>
      <c r="V50" s="55">
        <v>0</v>
      </c>
      <c r="W50" s="56">
        <f t="shared" si="3"/>
        <v>1.17</v>
      </c>
      <c r="X50" s="637"/>
      <c r="Y50" s="15"/>
      <c r="Z50" s="46"/>
    </row>
    <row r="51" spans="1:26" s="4" customFormat="1" ht="40.5" customHeight="1">
      <c r="A51" s="48" t="s">
        <v>137</v>
      </c>
      <c r="B51" s="58" t="s">
        <v>138</v>
      </c>
      <c r="C51" s="36" t="s">
        <v>78</v>
      </c>
      <c r="D51" s="36"/>
      <c r="E51" s="65">
        <v>9</v>
      </c>
      <c r="F51" s="66">
        <v>0</v>
      </c>
      <c r="G51" s="50">
        <v>2015</v>
      </c>
      <c r="H51" s="50">
        <v>2015</v>
      </c>
      <c r="I51" s="51">
        <f>(2.18+0.21)*1.18</f>
        <v>2.8202</v>
      </c>
      <c r="J51" s="52">
        <f t="shared" si="4"/>
        <v>0</v>
      </c>
      <c r="K51" s="53">
        <f t="shared" si="5"/>
        <v>0</v>
      </c>
      <c r="L51" s="64"/>
      <c r="M51" s="64"/>
      <c r="N51" s="36"/>
      <c r="O51" s="65">
        <f t="shared" si="9"/>
        <v>9</v>
      </c>
      <c r="P51" s="54"/>
      <c r="Q51" s="54"/>
      <c r="R51" s="36">
        <f t="shared" si="10"/>
        <v>0</v>
      </c>
      <c r="S51" s="36">
        <f t="shared" si="8"/>
        <v>9</v>
      </c>
      <c r="T51" s="55">
        <v>0</v>
      </c>
      <c r="U51" s="51">
        <f t="shared" si="11"/>
        <v>2.8202</v>
      </c>
      <c r="V51" s="55">
        <v>0</v>
      </c>
      <c r="W51" s="56">
        <f t="shared" si="3"/>
        <v>2.8202</v>
      </c>
      <c r="X51" s="637"/>
      <c r="Y51" s="15"/>
      <c r="Z51" s="46"/>
    </row>
    <row r="52" spans="1:26" s="4" customFormat="1" ht="31.5">
      <c r="A52" s="48" t="s">
        <v>139</v>
      </c>
      <c r="B52" s="58" t="s">
        <v>140</v>
      </c>
      <c r="C52" s="36" t="s">
        <v>78</v>
      </c>
      <c r="D52" s="36"/>
      <c r="E52" s="36">
        <v>0.94</v>
      </c>
      <c r="F52" s="59">
        <v>1.285</v>
      </c>
      <c r="G52" s="50">
        <v>2015</v>
      </c>
      <c r="H52" s="50">
        <v>2015</v>
      </c>
      <c r="I52" s="51">
        <f>(0.52+0.05)*1.18</f>
        <v>0.6726000000000001</v>
      </c>
      <c r="J52" s="52">
        <f t="shared" si="4"/>
        <v>0</v>
      </c>
      <c r="K52" s="53">
        <f t="shared" si="5"/>
        <v>0</v>
      </c>
      <c r="L52" s="64"/>
      <c r="M52" s="64"/>
      <c r="N52" s="36"/>
      <c r="O52" s="36">
        <f t="shared" si="9"/>
        <v>0.94</v>
      </c>
      <c r="P52" s="54"/>
      <c r="Q52" s="54"/>
      <c r="R52" s="36">
        <f t="shared" si="10"/>
        <v>0</v>
      </c>
      <c r="S52" s="36">
        <f t="shared" si="8"/>
        <v>0.94</v>
      </c>
      <c r="T52" s="55">
        <v>0</v>
      </c>
      <c r="U52" s="51">
        <f t="shared" si="11"/>
        <v>0.6726000000000001</v>
      </c>
      <c r="V52" s="55">
        <v>0</v>
      </c>
      <c r="W52" s="56">
        <f t="shared" si="3"/>
        <v>0.6726000000000001</v>
      </c>
      <c r="X52" s="637"/>
      <c r="Y52" s="15"/>
      <c r="Z52" s="46"/>
    </row>
    <row r="53" spans="1:26" s="4" customFormat="1" ht="31.5">
      <c r="A53" s="48" t="s">
        <v>141</v>
      </c>
      <c r="B53" s="58" t="s">
        <v>142</v>
      </c>
      <c r="C53" s="36" t="s">
        <v>78</v>
      </c>
      <c r="D53" s="36"/>
      <c r="E53" s="36">
        <v>0.68</v>
      </c>
      <c r="F53" s="36">
        <v>1.19</v>
      </c>
      <c r="G53" s="50">
        <v>2015</v>
      </c>
      <c r="H53" s="50">
        <v>2015</v>
      </c>
      <c r="I53" s="51">
        <f>(0.25+0.02)*1.18</f>
        <v>0.3186</v>
      </c>
      <c r="J53" s="52">
        <f t="shared" si="4"/>
        <v>0</v>
      </c>
      <c r="K53" s="53">
        <f t="shared" si="5"/>
        <v>0</v>
      </c>
      <c r="L53" s="64"/>
      <c r="M53" s="64"/>
      <c r="N53" s="36"/>
      <c r="O53" s="36">
        <f t="shared" si="9"/>
        <v>0.68</v>
      </c>
      <c r="P53" s="54"/>
      <c r="Q53" s="54"/>
      <c r="R53" s="36">
        <f t="shared" si="10"/>
        <v>0</v>
      </c>
      <c r="S53" s="36">
        <f t="shared" si="8"/>
        <v>0.68</v>
      </c>
      <c r="T53" s="55">
        <v>0</v>
      </c>
      <c r="U53" s="51">
        <f t="shared" si="11"/>
        <v>0.3186</v>
      </c>
      <c r="V53" s="55">
        <v>0</v>
      </c>
      <c r="W53" s="56">
        <f t="shared" si="3"/>
        <v>0.3186</v>
      </c>
      <c r="X53" s="637"/>
      <c r="Y53" s="15"/>
      <c r="Z53" s="46"/>
    </row>
    <row r="54" spans="1:26" s="4" customFormat="1" ht="31.5">
      <c r="A54" s="48" t="s">
        <v>143</v>
      </c>
      <c r="B54" s="58" t="s">
        <v>144</v>
      </c>
      <c r="C54" s="36" t="s">
        <v>78</v>
      </c>
      <c r="D54" s="36"/>
      <c r="E54" s="36">
        <v>2.24</v>
      </c>
      <c r="F54" s="36">
        <v>1.06</v>
      </c>
      <c r="G54" s="50">
        <v>2015</v>
      </c>
      <c r="H54" s="50">
        <v>2015</v>
      </c>
      <c r="I54" s="51">
        <f>(1.08+0.1)*1.18</f>
        <v>1.3924</v>
      </c>
      <c r="J54" s="52">
        <f t="shared" si="4"/>
        <v>0</v>
      </c>
      <c r="K54" s="53">
        <f t="shared" si="5"/>
        <v>0</v>
      </c>
      <c r="L54" s="64"/>
      <c r="M54" s="64"/>
      <c r="N54" s="36"/>
      <c r="O54" s="36">
        <f t="shared" si="9"/>
        <v>2.24</v>
      </c>
      <c r="P54" s="54"/>
      <c r="Q54" s="54"/>
      <c r="R54" s="36">
        <f t="shared" si="10"/>
        <v>0</v>
      </c>
      <c r="S54" s="36">
        <f t="shared" si="8"/>
        <v>2.24</v>
      </c>
      <c r="T54" s="55">
        <v>0</v>
      </c>
      <c r="U54" s="51">
        <f t="shared" si="11"/>
        <v>1.3924</v>
      </c>
      <c r="V54" s="55">
        <v>0</v>
      </c>
      <c r="W54" s="56">
        <f t="shared" si="3"/>
        <v>1.3924</v>
      </c>
      <c r="X54" s="637"/>
      <c r="Y54" s="15"/>
      <c r="Z54" s="46"/>
    </row>
    <row r="55" spans="1:26" s="4" customFormat="1" ht="33.75" customHeight="1">
      <c r="A55" s="48" t="s">
        <v>145</v>
      </c>
      <c r="B55" s="57" t="s">
        <v>146</v>
      </c>
      <c r="C55" s="36" t="s">
        <v>78</v>
      </c>
      <c r="D55" s="50"/>
      <c r="E55" s="50">
        <v>0.22</v>
      </c>
      <c r="F55" s="36">
        <v>0</v>
      </c>
      <c r="G55" s="50">
        <v>2015</v>
      </c>
      <c r="H55" s="50">
        <v>2015</v>
      </c>
      <c r="I55" s="51">
        <v>0.5</v>
      </c>
      <c r="J55" s="52">
        <f t="shared" si="4"/>
        <v>0</v>
      </c>
      <c r="K55" s="53">
        <f t="shared" si="5"/>
        <v>0</v>
      </c>
      <c r="L55" s="36"/>
      <c r="M55" s="50" t="s">
        <v>37</v>
      </c>
      <c r="N55" s="54"/>
      <c r="O55" s="36">
        <v>0.22</v>
      </c>
      <c r="P55" s="54"/>
      <c r="Q55" s="54"/>
      <c r="R55" s="36">
        <f t="shared" si="10"/>
        <v>0</v>
      </c>
      <c r="S55" s="59">
        <f>O55</f>
        <v>0.22</v>
      </c>
      <c r="T55" s="55">
        <v>0</v>
      </c>
      <c r="U55" s="51">
        <f t="shared" si="11"/>
        <v>0.5</v>
      </c>
      <c r="V55" s="55">
        <v>0</v>
      </c>
      <c r="W55" s="56">
        <f t="shared" si="3"/>
        <v>0.5</v>
      </c>
      <c r="X55" s="637"/>
      <c r="Y55" s="15"/>
      <c r="Z55" s="46"/>
    </row>
    <row r="56" spans="1:26" s="4" customFormat="1" ht="33.75" customHeight="1">
      <c r="A56" s="48" t="s">
        <v>147</v>
      </c>
      <c r="B56" s="67" t="s">
        <v>148</v>
      </c>
      <c r="C56" s="36" t="s">
        <v>78</v>
      </c>
      <c r="D56" s="50"/>
      <c r="E56" s="50">
        <v>2.61</v>
      </c>
      <c r="F56" s="36">
        <v>0</v>
      </c>
      <c r="G56" s="50">
        <v>2015</v>
      </c>
      <c r="H56" s="50">
        <v>2015</v>
      </c>
      <c r="I56" s="51">
        <v>1.16</v>
      </c>
      <c r="J56" s="52">
        <f t="shared" si="4"/>
        <v>0</v>
      </c>
      <c r="K56" s="53">
        <f t="shared" si="5"/>
        <v>0</v>
      </c>
      <c r="L56" s="36"/>
      <c r="M56" s="50"/>
      <c r="N56" s="54"/>
      <c r="O56" s="50">
        <v>2.61</v>
      </c>
      <c r="P56" s="54"/>
      <c r="Q56" s="54"/>
      <c r="R56" s="36">
        <f t="shared" si="10"/>
        <v>0</v>
      </c>
      <c r="S56" s="36">
        <f aca="true" t="shared" si="12" ref="S56:S69">M56+O56+Q56</f>
        <v>2.61</v>
      </c>
      <c r="T56" s="55">
        <v>0</v>
      </c>
      <c r="U56" s="51">
        <f t="shared" si="11"/>
        <v>1.16</v>
      </c>
      <c r="V56" s="55">
        <v>0</v>
      </c>
      <c r="W56" s="56">
        <f t="shared" si="3"/>
        <v>1.16</v>
      </c>
      <c r="X56" s="637"/>
      <c r="Y56" s="15"/>
      <c r="Z56" s="46"/>
    </row>
    <row r="57" spans="1:26" s="4" customFormat="1" ht="33.75" customHeight="1">
      <c r="A57" s="48" t="s">
        <v>149</v>
      </c>
      <c r="B57" s="68" t="s">
        <v>150</v>
      </c>
      <c r="C57" s="36" t="s">
        <v>78</v>
      </c>
      <c r="D57" s="50"/>
      <c r="E57" s="50">
        <v>4.16</v>
      </c>
      <c r="F57" s="36">
        <v>0</v>
      </c>
      <c r="G57" s="50">
        <v>2015</v>
      </c>
      <c r="H57" s="50">
        <v>2015</v>
      </c>
      <c r="I57" s="51">
        <v>0.27</v>
      </c>
      <c r="J57" s="52">
        <f t="shared" si="4"/>
        <v>0</v>
      </c>
      <c r="K57" s="53">
        <f t="shared" si="5"/>
        <v>0</v>
      </c>
      <c r="L57" s="36"/>
      <c r="M57" s="50"/>
      <c r="N57" s="54"/>
      <c r="O57" s="50">
        <v>4.16</v>
      </c>
      <c r="P57" s="54"/>
      <c r="Q57" s="54"/>
      <c r="R57" s="36">
        <f t="shared" si="10"/>
        <v>0</v>
      </c>
      <c r="S57" s="36">
        <f t="shared" si="12"/>
        <v>4.16</v>
      </c>
      <c r="T57" s="55">
        <v>0</v>
      </c>
      <c r="U57" s="51">
        <f t="shared" si="11"/>
        <v>0.27</v>
      </c>
      <c r="V57" s="55">
        <v>0</v>
      </c>
      <c r="W57" s="56">
        <f t="shared" si="3"/>
        <v>0.27</v>
      </c>
      <c r="X57" s="637"/>
      <c r="Y57" s="15"/>
      <c r="Z57" s="46"/>
    </row>
    <row r="58" spans="1:26" s="4" customFormat="1" ht="33.75" customHeight="1">
      <c r="A58" s="48" t="s">
        <v>151</v>
      </c>
      <c r="B58" s="68" t="s">
        <v>152</v>
      </c>
      <c r="C58" s="36" t="s">
        <v>78</v>
      </c>
      <c r="D58" s="50"/>
      <c r="E58" s="50">
        <v>3.15</v>
      </c>
      <c r="F58" s="36">
        <v>0</v>
      </c>
      <c r="G58" s="50">
        <v>2015</v>
      </c>
      <c r="H58" s="50">
        <v>2015</v>
      </c>
      <c r="I58" s="51">
        <v>2.14</v>
      </c>
      <c r="J58" s="52">
        <f t="shared" si="4"/>
        <v>0</v>
      </c>
      <c r="K58" s="53">
        <f t="shared" si="5"/>
        <v>0</v>
      </c>
      <c r="L58" s="36"/>
      <c r="M58" s="50"/>
      <c r="N58" s="54"/>
      <c r="O58" s="50">
        <v>3.15</v>
      </c>
      <c r="P58" s="54"/>
      <c r="Q58" s="54"/>
      <c r="R58" s="36">
        <f t="shared" si="10"/>
        <v>0</v>
      </c>
      <c r="S58" s="36">
        <f t="shared" si="12"/>
        <v>3.15</v>
      </c>
      <c r="T58" s="55">
        <v>0</v>
      </c>
      <c r="U58" s="51">
        <f t="shared" si="11"/>
        <v>2.14</v>
      </c>
      <c r="V58" s="55">
        <v>0</v>
      </c>
      <c r="W58" s="56">
        <f t="shared" si="3"/>
        <v>2.14</v>
      </c>
      <c r="X58" s="637"/>
      <c r="Y58" s="15"/>
      <c r="Z58" s="46"/>
    </row>
    <row r="59" spans="1:26" s="4" customFormat="1" ht="47.25">
      <c r="A59" s="48" t="s">
        <v>153</v>
      </c>
      <c r="B59" s="68" t="s">
        <v>154</v>
      </c>
      <c r="C59" s="36" t="s">
        <v>78</v>
      </c>
      <c r="D59" s="50"/>
      <c r="E59" s="50">
        <v>2.61</v>
      </c>
      <c r="F59" s="36">
        <v>0</v>
      </c>
      <c r="G59" s="50">
        <v>2015</v>
      </c>
      <c r="H59" s="50">
        <v>2015</v>
      </c>
      <c r="I59" s="51">
        <v>18.34</v>
      </c>
      <c r="J59" s="52">
        <f t="shared" si="4"/>
        <v>0</v>
      </c>
      <c r="K59" s="53">
        <f t="shared" si="5"/>
        <v>0</v>
      </c>
      <c r="L59" s="36"/>
      <c r="M59" s="50"/>
      <c r="N59" s="54"/>
      <c r="O59" s="50">
        <v>2.61</v>
      </c>
      <c r="P59" s="54"/>
      <c r="Q59" s="54"/>
      <c r="R59" s="36">
        <f t="shared" si="10"/>
        <v>0</v>
      </c>
      <c r="S59" s="36">
        <f t="shared" si="12"/>
        <v>2.61</v>
      </c>
      <c r="T59" s="55">
        <v>0</v>
      </c>
      <c r="U59" s="51">
        <f t="shared" si="11"/>
        <v>18.34</v>
      </c>
      <c r="V59" s="55">
        <v>0</v>
      </c>
      <c r="W59" s="56">
        <f t="shared" si="3"/>
        <v>18.34</v>
      </c>
      <c r="X59" s="637"/>
      <c r="Y59" s="15"/>
      <c r="Z59" s="46"/>
    </row>
    <row r="60" spans="1:26" s="4" customFormat="1" ht="33.75" customHeight="1">
      <c r="A60" s="48" t="s">
        <v>155</v>
      </c>
      <c r="B60" s="69" t="s">
        <v>156</v>
      </c>
      <c r="C60" s="36" t="s">
        <v>78</v>
      </c>
      <c r="D60" s="50"/>
      <c r="E60" s="50">
        <v>7.17</v>
      </c>
      <c r="F60" s="36">
        <v>0</v>
      </c>
      <c r="G60" s="50">
        <v>2015</v>
      </c>
      <c r="H60" s="50">
        <v>2015</v>
      </c>
      <c r="I60" s="51">
        <v>0.95</v>
      </c>
      <c r="J60" s="52">
        <f t="shared" si="4"/>
        <v>0</v>
      </c>
      <c r="K60" s="53">
        <f t="shared" si="5"/>
        <v>0</v>
      </c>
      <c r="L60" s="36"/>
      <c r="M60" s="50"/>
      <c r="N60" s="54"/>
      <c r="O60" s="50">
        <v>7.17</v>
      </c>
      <c r="P60" s="54"/>
      <c r="Q60" s="54"/>
      <c r="R60" s="36">
        <f t="shared" si="10"/>
        <v>0</v>
      </c>
      <c r="S60" s="36">
        <f t="shared" si="12"/>
        <v>7.17</v>
      </c>
      <c r="T60" s="55">
        <v>0</v>
      </c>
      <c r="U60" s="51">
        <f t="shared" si="11"/>
        <v>0.95</v>
      </c>
      <c r="V60" s="55">
        <v>0</v>
      </c>
      <c r="W60" s="56">
        <f t="shared" si="3"/>
        <v>0.95</v>
      </c>
      <c r="X60" s="637"/>
      <c r="Y60" s="15"/>
      <c r="Z60" s="46"/>
    </row>
    <row r="61" spans="1:26" s="4" customFormat="1" ht="33.75" customHeight="1">
      <c r="A61" s="48" t="s">
        <v>157</v>
      </c>
      <c r="B61" s="69" t="s">
        <v>158</v>
      </c>
      <c r="C61" s="36" t="s">
        <v>78</v>
      </c>
      <c r="D61" s="50"/>
      <c r="E61" s="50">
        <v>0.06</v>
      </c>
      <c r="F61" s="36">
        <v>0</v>
      </c>
      <c r="G61" s="50">
        <v>2015</v>
      </c>
      <c r="H61" s="50">
        <v>2015</v>
      </c>
      <c r="I61" s="51">
        <v>0.37</v>
      </c>
      <c r="J61" s="52">
        <f t="shared" si="4"/>
        <v>0</v>
      </c>
      <c r="K61" s="53">
        <f t="shared" si="5"/>
        <v>0</v>
      </c>
      <c r="L61" s="36"/>
      <c r="M61" s="50"/>
      <c r="N61" s="54"/>
      <c r="O61" s="50">
        <v>0.06</v>
      </c>
      <c r="P61" s="54"/>
      <c r="Q61" s="54"/>
      <c r="R61" s="36">
        <f t="shared" si="10"/>
        <v>0</v>
      </c>
      <c r="S61" s="36">
        <f t="shared" si="12"/>
        <v>0.06</v>
      </c>
      <c r="T61" s="55">
        <v>0</v>
      </c>
      <c r="U61" s="51">
        <f t="shared" si="11"/>
        <v>0.37</v>
      </c>
      <c r="V61" s="55">
        <v>0</v>
      </c>
      <c r="W61" s="56">
        <f t="shared" si="3"/>
        <v>0.37</v>
      </c>
      <c r="X61" s="637"/>
      <c r="Y61" s="15"/>
      <c r="Z61" s="46"/>
    </row>
    <row r="62" spans="1:26" s="4" customFormat="1" ht="33.75" customHeight="1">
      <c r="A62" s="48" t="s">
        <v>159</v>
      </c>
      <c r="B62" s="60" t="s">
        <v>160</v>
      </c>
      <c r="C62" s="36" t="s">
        <v>78</v>
      </c>
      <c r="D62" s="50"/>
      <c r="E62" s="50">
        <v>1.97</v>
      </c>
      <c r="F62" s="36">
        <v>0</v>
      </c>
      <c r="G62" s="50">
        <v>2015</v>
      </c>
      <c r="H62" s="50">
        <v>2015</v>
      </c>
      <c r="I62" s="51">
        <v>0.82</v>
      </c>
      <c r="J62" s="52">
        <f t="shared" si="4"/>
        <v>0</v>
      </c>
      <c r="K62" s="53">
        <f t="shared" si="5"/>
        <v>0</v>
      </c>
      <c r="L62" s="36"/>
      <c r="M62" s="50"/>
      <c r="N62" s="54"/>
      <c r="O62" s="50">
        <v>1.97</v>
      </c>
      <c r="P62" s="54"/>
      <c r="Q62" s="54"/>
      <c r="R62" s="36">
        <f t="shared" si="10"/>
        <v>0</v>
      </c>
      <c r="S62" s="36">
        <f t="shared" si="12"/>
        <v>1.97</v>
      </c>
      <c r="T62" s="55">
        <v>0</v>
      </c>
      <c r="U62" s="51">
        <f t="shared" si="11"/>
        <v>0.82</v>
      </c>
      <c r="V62" s="55">
        <v>0</v>
      </c>
      <c r="W62" s="56">
        <f t="shared" si="3"/>
        <v>0.82</v>
      </c>
      <c r="X62" s="637"/>
      <c r="Y62" s="15"/>
      <c r="Z62" s="46"/>
    </row>
    <row r="63" spans="1:26" s="4" customFormat="1" ht="33.75" customHeight="1">
      <c r="A63" s="48" t="s">
        <v>161</v>
      </c>
      <c r="B63" s="60" t="s">
        <v>162</v>
      </c>
      <c r="C63" s="36" t="s">
        <v>78</v>
      </c>
      <c r="D63" s="50"/>
      <c r="E63" s="50">
        <v>3.69</v>
      </c>
      <c r="F63" s="36">
        <v>0</v>
      </c>
      <c r="G63" s="50">
        <v>2015</v>
      </c>
      <c r="H63" s="50">
        <v>2015</v>
      </c>
      <c r="I63" s="51">
        <v>1.04</v>
      </c>
      <c r="J63" s="52">
        <f t="shared" si="4"/>
        <v>0</v>
      </c>
      <c r="K63" s="53">
        <f t="shared" si="5"/>
        <v>0</v>
      </c>
      <c r="L63" s="36"/>
      <c r="M63" s="50"/>
      <c r="N63" s="54"/>
      <c r="O63" s="50">
        <v>3.69</v>
      </c>
      <c r="P63" s="54"/>
      <c r="Q63" s="54"/>
      <c r="R63" s="36">
        <f t="shared" si="10"/>
        <v>0</v>
      </c>
      <c r="S63" s="36">
        <f t="shared" si="12"/>
        <v>3.69</v>
      </c>
      <c r="T63" s="55">
        <v>0</v>
      </c>
      <c r="U63" s="51">
        <f t="shared" si="11"/>
        <v>1.04</v>
      </c>
      <c r="V63" s="55">
        <v>0</v>
      </c>
      <c r="W63" s="56">
        <f t="shared" si="3"/>
        <v>1.04</v>
      </c>
      <c r="X63" s="637"/>
      <c r="Y63" s="15"/>
      <c r="Z63" s="46"/>
    </row>
    <row r="64" spans="1:26" s="4" customFormat="1" ht="33.75" customHeight="1">
      <c r="A64" s="48" t="s">
        <v>163</v>
      </c>
      <c r="B64" s="60" t="s">
        <v>164</v>
      </c>
      <c r="C64" s="36" t="s">
        <v>78</v>
      </c>
      <c r="D64" s="50"/>
      <c r="E64" s="50">
        <v>2.83</v>
      </c>
      <c r="F64" s="36">
        <v>0</v>
      </c>
      <c r="G64" s="50">
        <v>2015</v>
      </c>
      <c r="H64" s="50">
        <v>2015</v>
      </c>
      <c r="I64" s="51">
        <v>0.31</v>
      </c>
      <c r="J64" s="52">
        <f t="shared" si="4"/>
        <v>0</v>
      </c>
      <c r="K64" s="53">
        <f t="shared" si="5"/>
        <v>0</v>
      </c>
      <c r="L64" s="36"/>
      <c r="M64" s="50"/>
      <c r="N64" s="54"/>
      <c r="O64" s="50">
        <v>2.83</v>
      </c>
      <c r="P64" s="54"/>
      <c r="Q64" s="54"/>
      <c r="R64" s="36">
        <f t="shared" si="10"/>
        <v>0</v>
      </c>
      <c r="S64" s="36">
        <f t="shared" si="12"/>
        <v>2.83</v>
      </c>
      <c r="T64" s="55">
        <v>0</v>
      </c>
      <c r="U64" s="51">
        <f t="shared" si="11"/>
        <v>0.31</v>
      </c>
      <c r="V64" s="55">
        <v>0</v>
      </c>
      <c r="W64" s="56">
        <f t="shared" si="3"/>
        <v>0.31</v>
      </c>
      <c r="X64" s="637"/>
      <c r="Y64" s="15"/>
      <c r="Z64" s="46"/>
    </row>
    <row r="65" spans="1:26" s="4" customFormat="1" ht="33.75" customHeight="1">
      <c r="A65" s="48" t="s">
        <v>165</v>
      </c>
      <c r="B65" s="60" t="s">
        <v>166</v>
      </c>
      <c r="C65" s="36" t="s">
        <v>78</v>
      </c>
      <c r="D65" s="50"/>
      <c r="E65" s="50">
        <v>4.21</v>
      </c>
      <c r="F65" s="36">
        <v>0</v>
      </c>
      <c r="G65" s="50">
        <v>2015</v>
      </c>
      <c r="H65" s="50">
        <v>2015</v>
      </c>
      <c r="I65" s="51">
        <v>1.27</v>
      </c>
      <c r="J65" s="52">
        <f t="shared" si="4"/>
        <v>0</v>
      </c>
      <c r="K65" s="53">
        <f t="shared" si="5"/>
        <v>0</v>
      </c>
      <c r="L65" s="36"/>
      <c r="M65" s="50"/>
      <c r="N65" s="54"/>
      <c r="O65" s="50">
        <v>4.21</v>
      </c>
      <c r="P65" s="54"/>
      <c r="Q65" s="54"/>
      <c r="R65" s="36">
        <f t="shared" si="10"/>
        <v>0</v>
      </c>
      <c r="S65" s="36">
        <f t="shared" si="12"/>
        <v>4.21</v>
      </c>
      <c r="T65" s="55">
        <v>0</v>
      </c>
      <c r="U65" s="51">
        <f t="shared" si="11"/>
        <v>1.27</v>
      </c>
      <c r="V65" s="55">
        <v>0</v>
      </c>
      <c r="W65" s="56">
        <f t="shared" si="3"/>
        <v>1.27</v>
      </c>
      <c r="X65" s="637"/>
      <c r="Y65" s="15"/>
      <c r="Z65" s="46"/>
    </row>
    <row r="66" spans="1:26" s="4" customFormat="1" ht="33.75" customHeight="1">
      <c r="A66" s="48" t="s">
        <v>167</v>
      </c>
      <c r="B66" s="60" t="s">
        <v>168</v>
      </c>
      <c r="C66" s="36" t="s">
        <v>78</v>
      </c>
      <c r="D66" s="50"/>
      <c r="E66" s="50">
        <v>0.99</v>
      </c>
      <c r="F66" s="36">
        <v>0</v>
      </c>
      <c r="G66" s="50">
        <v>2015</v>
      </c>
      <c r="H66" s="50">
        <v>2015</v>
      </c>
      <c r="I66" s="51">
        <v>0.55</v>
      </c>
      <c r="J66" s="52">
        <f t="shared" si="4"/>
        <v>0</v>
      </c>
      <c r="K66" s="53">
        <f t="shared" si="5"/>
        <v>0</v>
      </c>
      <c r="L66" s="36"/>
      <c r="M66" s="50"/>
      <c r="N66" s="54"/>
      <c r="O66" s="50">
        <v>0.99</v>
      </c>
      <c r="P66" s="54"/>
      <c r="Q66" s="54"/>
      <c r="R66" s="36">
        <f t="shared" si="10"/>
        <v>0</v>
      </c>
      <c r="S66" s="36">
        <f t="shared" si="12"/>
        <v>0.99</v>
      </c>
      <c r="T66" s="55">
        <v>0</v>
      </c>
      <c r="U66" s="51">
        <f t="shared" si="11"/>
        <v>0.55</v>
      </c>
      <c r="V66" s="55">
        <v>0</v>
      </c>
      <c r="W66" s="56">
        <f t="shared" si="3"/>
        <v>0.55</v>
      </c>
      <c r="X66" s="637"/>
      <c r="Y66" s="15"/>
      <c r="Z66" s="46"/>
    </row>
    <row r="67" spans="1:26" s="4" customFormat="1" ht="33.75" customHeight="1">
      <c r="A67" s="48" t="s">
        <v>169</v>
      </c>
      <c r="B67" s="68" t="s">
        <v>170</v>
      </c>
      <c r="C67" s="36" t="s">
        <v>78</v>
      </c>
      <c r="D67" s="50"/>
      <c r="E67" s="50">
        <v>0.46</v>
      </c>
      <c r="F67" s="36">
        <v>1.073</v>
      </c>
      <c r="G67" s="50">
        <v>2015</v>
      </c>
      <c r="H67" s="50">
        <v>2015</v>
      </c>
      <c r="I67" s="51">
        <v>0.43</v>
      </c>
      <c r="J67" s="52">
        <f t="shared" si="4"/>
        <v>0</v>
      </c>
      <c r="K67" s="53">
        <f t="shared" si="5"/>
        <v>0</v>
      </c>
      <c r="L67" s="36"/>
      <c r="M67" s="50"/>
      <c r="N67" s="54"/>
      <c r="O67" s="50">
        <v>0.46</v>
      </c>
      <c r="P67" s="54"/>
      <c r="Q67" s="54"/>
      <c r="R67" s="36">
        <f t="shared" si="10"/>
        <v>0</v>
      </c>
      <c r="S67" s="36">
        <f t="shared" si="12"/>
        <v>0.46</v>
      </c>
      <c r="T67" s="55">
        <v>0</v>
      </c>
      <c r="U67" s="51">
        <f t="shared" si="11"/>
        <v>0.43</v>
      </c>
      <c r="V67" s="55">
        <v>0</v>
      </c>
      <c r="W67" s="56">
        <f t="shared" si="3"/>
        <v>0.43</v>
      </c>
      <c r="X67" s="637"/>
      <c r="Y67" s="15"/>
      <c r="Z67" s="46"/>
    </row>
    <row r="68" spans="1:26" s="4" customFormat="1" ht="33.75" customHeight="1">
      <c r="A68" s="48" t="s">
        <v>171</v>
      </c>
      <c r="B68" s="70" t="s">
        <v>172</v>
      </c>
      <c r="C68" s="36" t="s">
        <v>78</v>
      </c>
      <c r="D68" s="50"/>
      <c r="E68" s="50">
        <v>0.16</v>
      </c>
      <c r="F68" s="36">
        <v>0</v>
      </c>
      <c r="G68" s="50">
        <v>2015</v>
      </c>
      <c r="H68" s="50">
        <v>2015</v>
      </c>
      <c r="I68" s="51">
        <v>0.34</v>
      </c>
      <c r="J68" s="52">
        <f t="shared" si="4"/>
        <v>0</v>
      </c>
      <c r="K68" s="53">
        <f t="shared" si="5"/>
        <v>0</v>
      </c>
      <c r="L68" s="36"/>
      <c r="M68" s="50"/>
      <c r="N68" s="54"/>
      <c r="O68" s="50">
        <v>0.16</v>
      </c>
      <c r="P68" s="54"/>
      <c r="Q68" s="54"/>
      <c r="R68" s="36">
        <f t="shared" si="10"/>
        <v>0</v>
      </c>
      <c r="S68" s="36">
        <f t="shared" si="12"/>
        <v>0.16</v>
      </c>
      <c r="T68" s="55">
        <v>0</v>
      </c>
      <c r="U68" s="51">
        <f t="shared" si="11"/>
        <v>0.34</v>
      </c>
      <c r="V68" s="55">
        <v>0</v>
      </c>
      <c r="W68" s="56">
        <f t="shared" si="3"/>
        <v>0.34</v>
      </c>
      <c r="X68" s="637"/>
      <c r="Y68" s="15"/>
      <c r="Z68" s="46"/>
    </row>
    <row r="69" spans="1:26" s="4" customFormat="1" ht="33.75" customHeight="1">
      <c r="A69" s="48" t="s">
        <v>173</v>
      </c>
      <c r="B69" s="68" t="s">
        <v>174</v>
      </c>
      <c r="C69" s="36" t="s">
        <v>78</v>
      </c>
      <c r="D69" s="50"/>
      <c r="E69" s="50">
        <v>0.5</v>
      </c>
      <c r="F69" s="36">
        <v>0.163</v>
      </c>
      <c r="G69" s="50">
        <v>2015</v>
      </c>
      <c r="H69" s="50">
        <v>2015</v>
      </c>
      <c r="I69" s="51">
        <v>0.62</v>
      </c>
      <c r="J69" s="52">
        <f t="shared" si="4"/>
        <v>0</v>
      </c>
      <c r="K69" s="53">
        <f t="shared" si="5"/>
        <v>0</v>
      </c>
      <c r="L69" s="36"/>
      <c r="M69" s="50"/>
      <c r="N69" s="54"/>
      <c r="O69" s="50">
        <v>0.5</v>
      </c>
      <c r="P69" s="54"/>
      <c r="Q69" s="54"/>
      <c r="R69" s="36">
        <f t="shared" si="10"/>
        <v>0</v>
      </c>
      <c r="S69" s="36">
        <f t="shared" si="12"/>
        <v>0.5</v>
      </c>
      <c r="T69" s="55">
        <v>0</v>
      </c>
      <c r="U69" s="51">
        <f t="shared" si="11"/>
        <v>0.62</v>
      </c>
      <c r="V69" s="55">
        <v>0</v>
      </c>
      <c r="W69" s="56">
        <f t="shared" si="3"/>
        <v>0.62</v>
      </c>
      <c r="X69" s="637"/>
      <c r="Y69" s="15"/>
      <c r="Z69" s="46"/>
    </row>
    <row r="70" spans="1:26" s="4" customFormat="1" ht="33.75" customHeight="1">
      <c r="A70" s="48" t="s">
        <v>175</v>
      </c>
      <c r="B70" s="61" t="s">
        <v>176</v>
      </c>
      <c r="C70" s="36" t="s">
        <v>78</v>
      </c>
      <c r="D70" s="50">
        <v>1.26</v>
      </c>
      <c r="E70" s="50"/>
      <c r="F70" s="36">
        <v>0</v>
      </c>
      <c r="G70" s="50">
        <v>2015</v>
      </c>
      <c r="H70" s="50">
        <v>2015</v>
      </c>
      <c r="I70" s="51">
        <v>0.37</v>
      </c>
      <c r="J70" s="52">
        <f t="shared" si="4"/>
        <v>0</v>
      </c>
      <c r="K70" s="53">
        <f t="shared" si="5"/>
        <v>0</v>
      </c>
      <c r="L70" s="50"/>
      <c r="M70" s="36"/>
      <c r="N70" s="36">
        <f aca="true" t="shared" si="13" ref="N70:N83">D70</f>
        <v>1.26</v>
      </c>
      <c r="O70" s="54"/>
      <c r="P70" s="54"/>
      <c r="Q70" s="54"/>
      <c r="R70" s="36">
        <f t="shared" si="10"/>
        <v>1.26</v>
      </c>
      <c r="S70" s="36"/>
      <c r="T70" s="51">
        <v>0</v>
      </c>
      <c r="U70" s="51">
        <f t="shared" si="11"/>
        <v>0.37</v>
      </c>
      <c r="V70" s="55">
        <v>0</v>
      </c>
      <c r="W70" s="56">
        <f t="shared" si="3"/>
        <v>0.37</v>
      </c>
      <c r="X70" s="637"/>
      <c r="Y70" s="15"/>
      <c r="Z70" s="46"/>
    </row>
    <row r="71" spans="1:26" s="4" customFormat="1" ht="33.75" customHeight="1">
      <c r="A71" s="48" t="s">
        <v>177</v>
      </c>
      <c r="B71" s="61" t="s">
        <v>178</v>
      </c>
      <c r="C71" s="36" t="s">
        <v>78</v>
      </c>
      <c r="D71" s="50">
        <v>1.26</v>
      </c>
      <c r="E71" s="50"/>
      <c r="F71" s="36">
        <v>0</v>
      </c>
      <c r="G71" s="50">
        <v>2015</v>
      </c>
      <c r="H71" s="50">
        <v>2015</v>
      </c>
      <c r="I71" s="51">
        <v>0.35</v>
      </c>
      <c r="J71" s="52">
        <f t="shared" si="4"/>
        <v>0</v>
      </c>
      <c r="K71" s="53">
        <f t="shared" si="5"/>
        <v>0</v>
      </c>
      <c r="L71" s="50"/>
      <c r="M71" s="36"/>
      <c r="N71" s="36">
        <f t="shared" si="13"/>
        <v>1.26</v>
      </c>
      <c r="O71" s="54"/>
      <c r="P71" s="54"/>
      <c r="Q71" s="54"/>
      <c r="R71" s="36">
        <f t="shared" si="10"/>
        <v>1.26</v>
      </c>
      <c r="S71" s="36"/>
      <c r="T71" s="51">
        <v>0</v>
      </c>
      <c r="U71" s="51">
        <f t="shared" si="11"/>
        <v>0.35</v>
      </c>
      <c r="V71" s="55">
        <v>0</v>
      </c>
      <c r="W71" s="56">
        <f t="shared" si="3"/>
        <v>0.35</v>
      </c>
      <c r="X71" s="637"/>
      <c r="Y71" s="15"/>
      <c r="Z71" s="46"/>
    </row>
    <row r="72" spans="1:26" s="4" customFormat="1" ht="33.75" customHeight="1">
      <c r="A72" s="48" t="s">
        <v>179</v>
      </c>
      <c r="B72" s="61" t="s">
        <v>180</v>
      </c>
      <c r="C72" s="36" t="s">
        <v>78</v>
      </c>
      <c r="D72" s="50">
        <v>2</v>
      </c>
      <c r="E72" s="50"/>
      <c r="F72" s="36">
        <v>0</v>
      </c>
      <c r="G72" s="50">
        <v>2015</v>
      </c>
      <c r="H72" s="50">
        <v>2015</v>
      </c>
      <c r="I72" s="51">
        <f>0.03+(1.78+0.17)*1.18</f>
        <v>2.3309999999999995</v>
      </c>
      <c r="J72" s="52">
        <f t="shared" si="4"/>
        <v>0</v>
      </c>
      <c r="K72" s="53">
        <f t="shared" si="5"/>
        <v>0</v>
      </c>
      <c r="L72" s="50"/>
      <c r="M72" s="36"/>
      <c r="N72" s="36">
        <f t="shared" si="13"/>
        <v>2</v>
      </c>
      <c r="O72" s="54"/>
      <c r="P72" s="54"/>
      <c r="Q72" s="54"/>
      <c r="R72" s="36">
        <f t="shared" si="10"/>
        <v>2</v>
      </c>
      <c r="S72" s="36"/>
      <c r="T72" s="51">
        <v>0</v>
      </c>
      <c r="U72" s="51">
        <f t="shared" si="11"/>
        <v>2.3309999999999995</v>
      </c>
      <c r="V72" s="55">
        <v>0</v>
      </c>
      <c r="W72" s="56">
        <f t="shared" si="3"/>
        <v>2.3309999999999995</v>
      </c>
      <c r="X72" s="637"/>
      <c r="Y72" s="15"/>
      <c r="Z72" s="46"/>
    </row>
    <row r="73" spans="1:26" s="4" customFormat="1" ht="33.75" customHeight="1">
      <c r="A73" s="48" t="s">
        <v>181</v>
      </c>
      <c r="B73" s="61" t="s">
        <v>182</v>
      </c>
      <c r="C73" s="36" t="s">
        <v>78</v>
      </c>
      <c r="D73" s="50">
        <v>1.26</v>
      </c>
      <c r="E73" s="50"/>
      <c r="F73" s="36">
        <v>0</v>
      </c>
      <c r="G73" s="50">
        <v>2015</v>
      </c>
      <c r="H73" s="50">
        <v>2015</v>
      </c>
      <c r="I73" s="51">
        <v>2.84</v>
      </c>
      <c r="J73" s="52">
        <f t="shared" si="4"/>
        <v>0</v>
      </c>
      <c r="K73" s="53">
        <f t="shared" si="5"/>
        <v>0</v>
      </c>
      <c r="L73" s="50"/>
      <c r="M73" s="36"/>
      <c r="N73" s="36">
        <f t="shared" si="13"/>
        <v>1.26</v>
      </c>
      <c r="O73" s="54"/>
      <c r="P73" s="54"/>
      <c r="Q73" s="54"/>
      <c r="R73" s="36">
        <f t="shared" si="10"/>
        <v>1.26</v>
      </c>
      <c r="S73" s="36"/>
      <c r="T73" s="51">
        <v>0</v>
      </c>
      <c r="U73" s="51">
        <f t="shared" si="11"/>
        <v>2.84</v>
      </c>
      <c r="V73" s="55">
        <v>0</v>
      </c>
      <c r="W73" s="56">
        <f t="shared" si="3"/>
        <v>2.84</v>
      </c>
      <c r="X73" s="637"/>
      <c r="Y73" s="15"/>
      <c r="Z73" s="46"/>
    </row>
    <row r="74" spans="1:26" s="4" customFormat="1" ht="33.75" customHeight="1">
      <c r="A74" s="48" t="s">
        <v>183</v>
      </c>
      <c r="B74" s="61" t="s">
        <v>184</v>
      </c>
      <c r="C74" s="36" t="s">
        <v>78</v>
      </c>
      <c r="D74" s="50">
        <v>2</v>
      </c>
      <c r="E74" s="50"/>
      <c r="F74" s="36">
        <v>0</v>
      </c>
      <c r="G74" s="50">
        <v>2015</v>
      </c>
      <c r="H74" s="50">
        <v>2015</v>
      </c>
      <c r="I74" s="51">
        <v>0.29</v>
      </c>
      <c r="J74" s="52">
        <f t="shared" si="4"/>
        <v>0</v>
      </c>
      <c r="K74" s="53">
        <f t="shared" si="5"/>
        <v>0</v>
      </c>
      <c r="L74" s="50"/>
      <c r="M74" s="36"/>
      <c r="N74" s="36">
        <f t="shared" si="13"/>
        <v>2</v>
      </c>
      <c r="O74" s="54"/>
      <c r="P74" s="54"/>
      <c r="Q74" s="54"/>
      <c r="R74" s="36">
        <f t="shared" si="10"/>
        <v>2</v>
      </c>
      <c r="S74" s="36"/>
      <c r="T74" s="51">
        <v>0</v>
      </c>
      <c r="U74" s="51">
        <f t="shared" si="11"/>
        <v>0.29</v>
      </c>
      <c r="V74" s="55">
        <v>0</v>
      </c>
      <c r="W74" s="56">
        <f t="shared" si="3"/>
        <v>0.29</v>
      </c>
      <c r="X74" s="637"/>
      <c r="Y74" s="15"/>
      <c r="Z74" s="46"/>
    </row>
    <row r="75" spans="1:26" s="4" customFormat="1" ht="33.75" customHeight="1">
      <c r="A75" s="48" t="s">
        <v>185</v>
      </c>
      <c r="B75" s="61" t="s">
        <v>186</v>
      </c>
      <c r="C75" s="36" t="s">
        <v>78</v>
      </c>
      <c r="D75" s="50">
        <v>0.8</v>
      </c>
      <c r="E75" s="50"/>
      <c r="F75" s="36">
        <v>0</v>
      </c>
      <c r="G75" s="50">
        <v>2015</v>
      </c>
      <c r="H75" s="50">
        <v>2015</v>
      </c>
      <c r="I75" s="51">
        <v>0.29</v>
      </c>
      <c r="J75" s="52">
        <f t="shared" si="4"/>
        <v>0</v>
      </c>
      <c r="K75" s="53">
        <f t="shared" si="5"/>
        <v>0</v>
      </c>
      <c r="L75" s="50"/>
      <c r="M75" s="36"/>
      <c r="N75" s="36">
        <f t="shared" si="13"/>
        <v>0.8</v>
      </c>
      <c r="O75" s="54"/>
      <c r="P75" s="54"/>
      <c r="Q75" s="54"/>
      <c r="R75" s="36">
        <f t="shared" si="10"/>
        <v>0.8</v>
      </c>
      <c r="S75" s="36"/>
      <c r="T75" s="51">
        <v>0</v>
      </c>
      <c r="U75" s="51">
        <f t="shared" si="11"/>
        <v>0.29</v>
      </c>
      <c r="V75" s="55">
        <v>0</v>
      </c>
      <c r="W75" s="56">
        <f t="shared" si="3"/>
        <v>0.29</v>
      </c>
      <c r="X75" s="637"/>
      <c r="Y75" s="15"/>
      <c r="Z75" s="46"/>
    </row>
    <row r="76" spans="1:26" s="4" customFormat="1" ht="33.75" customHeight="1">
      <c r="A76" s="48" t="s">
        <v>187</v>
      </c>
      <c r="B76" s="61" t="s">
        <v>188</v>
      </c>
      <c r="C76" s="36" t="s">
        <v>78</v>
      </c>
      <c r="D76" s="50">
        <v>2</v>
      </c>
      <c r="E76" s="50"/>
      <c r="F76" s="641">
        <v>0</v>
      </c>
      <c r="G76" s="50">
        <v>2015</v>
      </c>
      <c r="H76" s="50">
        <v>2016</v>
      </c>
      <c r="I76" s="51">
        <f>0.29+1.24</f>
        <v>1.53</v>
      </c>
      <c r="J76" s="52">
        <f t="shared" si="4"/>
        <v>1.24</v>
      </c>
      <c r="K76" s="53">
        <f t="shared" si="5"/>
        <v>1.24</v>
      </c>
      <c r="L76" s="50"/>
      <c r="M76" s="36"/>
      <c r="N76" s="36">
        <v>0</v>
      </c>
      <c r="O76" s="54"/>
      <c r="P76" s="54">
        <v>2</v>
      </c>
      <c r="Q76" s="54"/>
      <c r="R76" s="36">
        <f t="shared" si="10"/>
        <v>2</v>
      </c>
      <c r="S76" s="36"/>
      <c r="T76" s="51">
        <v>0</v>
      </c>
      <c r="U76" s="51">
        <v>0.29</v>
      </c>
      <c r="V76" s="55">
        <v>1.24</v>
      </c>
      <c r="W76" s="56">
        <f t="shared" si="3"/>
        <v>1.53</v>
      </c>
      <c r="X76" s="637"/>
      <c r="Y76" s="15"/>
      <c r="Z76" s="46"/>
    </row>
    <row r="77" spans="1:26" s="4" customFormat="1" ht="33.75" customHeight="1">
      <c r="A77" s="48" t="s">
        <v>189</v>
      </c>
      <c r="B77" s="61" t="s">
        <v>190</v>
      </c>
      <c r="C77" s="36" t="s">
        <v>78</v>
      </c>
      <c r="D77" s="50">
        <v>1.26</v>
      </c>
      <c r="E77" s="50"/>
      <c r="F77" s="36">
        <v>0</v>
      </c>
      <c r="G77" s="50">
        <v>2015</v>
      </c>
      <c r="H77" s="50">
        <v>2015</v>
      </c>
      <c r="I77" s="51">
        <v>1.8</v>
      </c>
      <c r="J77" s="52">
        <f t="shared" si="4"/>
        <v>0</v>
      </c>
      <c r="K77" s="53">
        <f t="shared" si="5"/>
        <v>0</v>
      </c>
      <c r="L77" s="50"/>
      <c r="M77" s="36"/>
      <c r="N77" s="36">
        <f t="shared" si="13"/>
        <v>1.26</v>
      </c>
      <c r="O77" s="54"/>
      <c r="P77" s="54"/>
      <c r="Q77" s="54"/>
      <c r="R77" s="36">
        <f t="shared" si="10"/>
        <v>1.26</v>
      </c>
      <c r="S77" s="36"/>
      <c r="T77" s="51">
        <v>0</v>
      </c>
      <c r="U77" s="51">
        <f t="shared" si="11"/>
        <v>1.8</v>
      </c>
      <c r="V77" s="55">
        <v>0</v>
      </c>
      <c r="W77" s="56">
        <f t="shared" si="3"/>
        <v>1.8</v>
      </c>
      <c r="X77" s="637"/>
      <c r="Y77" s="15"/>
      <c r="Z77" s="46"/>
    </row>
    <row r="78" spans="1:26" s="4" customFormat="1" ht="33.75" customHeight="1">
      <c r="A78" s="48" t="s">
        <v>191</v>
      </c>
      <c r="B78" s="71" t="s">
        <v>192</v>
      </c>
      <c r="C78" s="36" t="s">
        <v>78</v>
      </c>
      <c r="D78" s="50">
        <v>2</v>
      </c>
      <c r="E78" s="50"/>
      <c r="F78" s="36">
        <v>0</v>
      </c>
      <c r="G78" s="50">
        <v>2015</v>
      </c>
      <c r="H78" s="50">
        <v>2015</v>
      </c>
      <c r="I78" s="51">
        <v>0.31</v>
      </c>
      <c r="J78" s="52">
        <f t="shared" si="4"/>
        <v>0</v>
      </c>
      <c r="K78" s="53">
        <f t="shared" si="5"/>
        <v>0</v>
      </c>
      <c r="L78" s="50"/>
      <c r="M78" s="36"/>
      <c r="N78" s="36">
        <f t="shared" si="13"/>
        <v>2</v>
      </c>
      <c r="O78" s="54"/>
      <c r="P78" s="54"/>
      <c r="Q78" s="54"/>
      <c r="R78" s="36">
        <f t="shared" si="10"/>
        <v>2</v>
      </c>
      <c r="S78" s="36"/>
      <c r="T78" s="51">
        <v>0</v>
      </c>
      <c r="U78" s="51">
        <f t="shared" si="11"/>
        <v>0.31</v>
      </c>
      <c r="V78" s="55">
        <v>0</v>
      </c>
      <c r="W78" s="56">
        <f t="shared" si="3"/>
        <v>0.31</v>
      </c>
      <c r="X78" s="637"/>
      <c r="Y78" s="15"/>
      <c r="Z78" s="46"/>
    </row>
    <row r="79" spans="1:26" s="4" customFormat="1" ht="33.75" customHeight="1">
      <c r="A79" s="48" t="s">
        <v>193</v>
      </c>
      <c r="B79" s="61" t="s">
        <v>194</v>
      </c>
      <c r="C79" s="36" t="s">
        <v>78</v>
      </c>
      <c r="D79" s="50">
        <v>2</v>
      </c>
      <c r="E79" s="50"/>
      <c r="F79" s="36">
        <v>0</v>
      </c>
      <c r="G79" s="50">
        <v>2015</v>
      </c>
      <c r="H79" s="50">
        <v>2015</v>
      </c>
      <c r="I79" s="51">
        <v>1.82</v>
      </c>
      <c r="J79" s="52">
        <f t="shared" si="4"/>
        <v>0</v>
      </c>
      <c r="K79" s="53">
        <f t="shared" si="5"/>
        <v>0</v>
      </c>
      <c r="L79" s="50"/>
      <c r="M79" s="36"/>
      <c r="N79" s="36">
        <f t="shared" si="13"/>
        <v>2</v>
      </c>
      <c r="O79" s="54"/>
      <c r="P79" s="54"/>
      <c r="Q79" s="54"/>
      <c r="R79" s="36">
        <f t="shared" si="10"/>
        <v>2</v>
      </c>
      <c r="S79" s="36"/>
      <c r="T79" s="51">
        <v>0</v>
      </c>
      <c r="U79" s="51">
        <f t="shared" si="11"/>
        <v>1.82</v>
      </c>
      <c r="V79" s="55">
        <v>0</v>
      </c>
      <c r="W79" s="56">
        <f t="shared" si="3"/>
        <v>1.82</v>
      </c>
      <c r="X79" s="637"/>
      <c r="Y79" s="15"/>
      <c r="Z79" s="46"/>
    </row>
    <row r="80" spans="1:26" s="4" customFormat="1" ht="33.75" customHeight="1">
      <c r="A80" s="48" t="s">
        <v>195</v>
      </c>
      <c r="B80" s="61" t="s">
        <v>196</v>
      </c>
      <c r="C80" s="36" t="s">
        <v>78</v>
      </c>
      <c r="D80" s="50">
        <v>2</v>
      </c>
      <c r="E80" s="50"/>
      <c r="F80" s="36">
        <v>0</v>
      </c>
      <c r="G80" s="50">
        <v>2015</v>
      </c>
      <c r="H80" s="50">
        <v>2015</v>
      </c>
      <c r="I80" s="51">
        <v>1.72</v>
      </c>
      <c r="J80" s="52">
        <f t="shared" si="4"/>
        <v>0</v>
      </c>
      <c r="K80" s="53">
        <f t="shared" si="5"/>
        <v>0</v>
      </c>
      <c r="L80" s="50"/>
      <c r="M80" s="36"/>
      <c r="N80" s="36">
        <f t="shared" si="13"/>
        <v>2</v>
      </c>
      <c r="O80" s="54"/>
      <c r="P80" s="54"/>
      <c r="Q80" s="54"/>
      <c r="R80" s="36">
        <f t="shared" si="10"/>
        <v>2</v>
      </c>
      <c r="S80" s="36"/>
      <c r="T80" s="51">
        <v>0</v>
      </c>
      <c r="U80" s="51">
        <f t="shared" si="11"/>
        <v>1.72</v>
      </c>
      <c r="V80" s="55">
        <v>0</v>
      </c>
      <c r="W80" s="56">
        <f t="shared" si="3"/>
        <v>1.72</v>
      </c>
      <c r="X80" s="637"/>
      <c r="Y80" s="15"/>
      <c r="Z80" s="46"/>
    </row>
    <row r="81" spans="1:26" s="4" customFormat="1" ht="33.75" customHeight="1">
      <c r="A81" s="48" t="s">
        <v>197</v>
      </c>
      <c r="B81" s="61" t="s">
        <v>198</v>
      </c>
      <c r="C81" s="36" t="s">
        <v>78</v>
      </c>
      <c r="D81" s="50">
        <v>2</v>
      </c>
      <c r="E81" s="50"/>
      <c r="F81" s="36">
        <v>0</v>
      </c>
      <c r="G81" s="50">
        <v>2015</v>
      </c>
      <c r="H81" s="50">
        <v>2015</v>
      </c>
      <c r="I81" s="51">
        <v>0.3</v>
      </c>
      <c r="J81" s="52">
        <f t="shared" si="4"/>
        <v>0</v>
      </c>
      <c r="K81" s="53">
        <f t="shared" si="5"/>
        <v>0</v>
      </c>
      <c r="L81" s="50"/>
      <c r="M81" s="36"/>
      <c r="N81" s="36">
        <f t="shared" si="13"/>
        <v>2</v>
      </c>
      <c r="O81" s="54"/>
      <c r="P81" s="54"/>
      <c r="Q81" s="54"/>
      <c r="R81" s="36">
        <f t="shared" si="10"/>
        <v>2</v>
      </c>
      <c r="S81" s="36"/>
      <c r="T81" s="51">
        <v>0</v>
      </c>
      <c r="U81" s="51">
        <f t="shared" si="11"/>
        <v>0.3</v>
      </c>
      <c r="V81" s="55">
        <v>0</v>
      </c>
      <c r="W81" s="56">
        <f t="shared" si="3"/>
        <v>0.3</v>
      </c>
      <c r="X81" s="637"/>
      <c r="Y81" s="15"/>
      <c r="Z81" s="46"/>
    </row>
    <row r="82" spans="1:26" s="4" customFormat="1" ht="33.75" customHeight="1">
      <c r="A82" s="48" t="s">
        <v>199</v>
      </c>
      <c r="B82" s="61" t="s">
        <v>200</v>
      </c>
      <c r="C82" s="36" t="s">
        <v>78</v>
      </c>
      <c r="D82" s="50">
        <v>1.26</v>
      </c>
      <c r="E82" s="50"/>
      <c r="F82" s="36">
        <v>0</v>
      </c>
      <c r="G82" s="50">
        <v>2015</v>
      </c>
      <c r="H82" s="50">
        <v>2015</v>
      </c>
      <c r="I82" s="51">
        <v>2.09</v>
      </c>
      <c r="J82" s="52">
        <f t="shared" si="4"/>
        <v>0</v>
      </c>
      <c r="K82" s="53">
        <f t="shared" si="5"/>
        <v>0</v>
      </c>
      <c r="L82" s="50"/>
      <c r="M82" s="36"/>
      <c r="N82" s="36">
        <f t="shared" si="13"/>
        <v>1.26</v>
      </c>
      <c r="O82" s="54"/>
      <c r="P82" s="54"/>
      <c r="Q82" s="54"/>
      <c r="R82" s="36">
        <f t="shared" si="10"/>
        <v>1.26</v>
      </c>
      <c r="S82" s="36"/>
      <c r="T82" s="51">
        <v>0</v>
      </c>
      <c r="U82" s="51">
        <f t="shared" si="11"/>
        <v>2.09</v>
      </c>
      <c r="V82" s="55">
        <v>0</v>
      </c>
      <c r="W82" s="56">
        <f t="shared" si="3"/>
        <v>2.09</v>
      </c>
      <c r="X82" s="637"/>
      <c r="Y82" s="15"/>
      <c r="Z82" s="46"/>
    </row>
    <row r="83" spans="1:26" s="4" customFormat="1" ht="33.75" customHeight="1">
      <c r="A83" s="48" t="s">
        <v>201</v>
      </c>
      <c r="B83" s="61" t="s">
        <v>202</v>
      </c>
      <c r="C83" s="36" t="s">
        <v>78</v>
      </c>
      <c r="D83" s="50">
        <v>1.26</v>
      </c>
      <c r="E83" s="50"/>
      <c r="F83" s="36">
        <v>0</v>
      </c>
      <c r="G83" s="50">
        <v>2015</v>
      </c>
      <c r="H83" s="50">
        <v>2015</v>
      </c>
      <c r="I83" s="51">
        <f>0.09+(1.72+0.16)*1.18</f>
        <v>2.3084</v>
      </c>
      <c r="J83" s="52">
        <f t="shared" si="4"/>
        <v>0</v>
      </c>
      <c r="K83" s="53">
        <f t="shared" si="5"/>
        <v>0</v>
      </c>
      <c r="L83" s="50"/>
      <c r="M83" s="36"/>
      <c r="N83" s="36">
        <f t="shared" si="13"/>
        <v>1.26</v>
      </c>
      <c r="O83" s="54"/>
      <c r="P83" s="54"/>
      <c r="Q83" s="54"/>
      <c r="R83" s="36">
        <f t="shared" si="10"/>
        <v>1.26</v>
      </c>
      <c r="S83" s="36"/>
      <c r="T83" s="51">
        <v>0</v>
      </c>
      <c r="U83" s="51">
        <f t="shared" si="11"/>
        <v>2.3084</v>
      </c>
      <c r="V83" s="55">
        <v>0</v>
      </c>
      <c r="W83" s="56">
        <f t="shared" si="3"/>
        <v>2.3084</v>
      </c>
      <c r="X83" s="637"/>
      <c r="Y83" s="15"/>
      <c r="Z83" s="46"/>
    </row>
    <row r="84" spans="1:26" s="4" customFormat="1" ht="33.75" customHeight="1">
      <c r="A84" s="48" t="s">
        <v>203</v>
      </c>
      <c r="B84" s="61" t="s">
        <v>204</v>
      </c>
      <c r="C84" s="36" t="s">
        <v>78</v>
      </c>
      <c r="D84" s="50">
        <v>2</v>
      </c>
      <c r="E84" s="50"/>
      <c r="F84" s="36">
        <v>0</v>
      </c>
      <c r="G84" s="50">
        <v>2015</v>
      </c>
      <c r="H84" s="50">
        <v>2016</v>
      </c>
      <c r="I84" s="51">
        <f>1.04+(0.35+0.02)*1.18</f>
        <v>1.4766</v>
      </c>
      <c r="J84" s="52">
        <f t="shared" si="4"/>
        <v>0.4366</v>
      </c>
      <c r="K84" s="53">
        <f t="shared" si="5"/>
        <v>0.4366</v>
      </c>
      <c r="L84" s="50"/>
      <c r="M84" s="36"/>
      <c r="N84" s="36">
        <v>0</v>
      </c>
      <c r="O84" s="54"/>
      <c r="P84" s="54">
        <v>2</v>
      </c>
      <c r="Q84" s="54"/>
      <c r="R84" s="36">
        <f t="shared" si="10"/>
        <v>2</v>
      </c>
      <c r="S84" s="36"/>
      <c r="T84" s="51">
        <v>0</v>
      </c>
      <c r="U84" s="51">
        <f>1.04</f>
        <v>1.04</v>
      </c>
      <c r="V84" s="51">
        <f>(0.35+0.02)*1.18</f>
        <v>0.4366</v>
      </c>
      <c r="W84" s="56">
        <f t="shared" si="3"/>
        <v>1.4766</v>
      </c>
      <c r="X84" s="637"/>
      <c r="Y84" s="15"/>
      <c r="Z84" s="46"/>
    </row>
    <row r="85" spans="1:26" s="4" customFormat="1" ht="35.25" customHeight="1">
      <c r="A85" s="48" t="s">
        <v>205</v>
      </c>
      <c r="B85" s="60" t="s">
        <v>206</v>
      </c>
      <c r="C85" s="36" t="s">
        <v>78</v>
      </c>
      <c r="D85" s="50">
        <v>2</v>
      </c>
      <c r="E85" s="50"/>
      <c r="F85" s="36">
        <v>0</v>
      </c>
      <c r="G85" s="50">
        <v>2015</v>
      </c>
      <c r="H85" s="50">
        <v>2016</v>
      </c>
      <c r="I85" s="51">
        <f>0.82+(1.57+0.1)*1.18</f>
        <v>2.7906</v>
      </c>
      <c r="J85" s="52">
        <f t="shared" si="4"/>
        <v>1.9706000000000001</v>
      </c>
      <c r="K85" s="53">
        <f t="shared" si="5"/>
        <v>1.9706000000000001</v>
      </c>
      <c r="L85" s="50"/>
      <c r="M85" s="36"/>
      <c r="N85" s="36">
        <v>0</v>
      </c>
      <c r="O85" s="54"/>
      <c r="P85" s="54">
        <v>2</v>
      </c>
      <c r="Q85" s="54"/>
      <c r="R85" s="36">
        <f t="shared" si="10"/>
        <v>2</v>
      </c>
      <c r="S85" s="36"/>
      <c r="T85" s="51">
        <v>0</v>
      </c>
      <c r="U85" s="51">
        <f>0.82</f>
        <v>0.82</v>
      </c>
      <c r="V85" s="51">
        <f>(1.57+0.1)*1.18</f>
        <v>1.9706000000000001</v>
      </c>
      <c r="W85" s="56">
        <f t="shared" si="3"/>
        <v>2.7906</v>
      </c>
      <c r="X85" s="637"/>
      <c r="Y85" s="15"/>
      <c r="Z85" s="46"/>
    </row>
    <row r="86" spans="1:26" s="4" customFormat="1" ht="33.75" customHeight="1">
      <c r="A86" s="48" t="s">
        <v>207</v>
      </c>
      <c r="B86" s="61" t="s">
        <v>208</v>
      </c>
      <c r="C86" s="36" t="s">
        <v>78</v>
      </c>
      <c r="D86" s="50">
        <v>2</v>
      </c>
      <c r="E86" s="50"/>
      <c r="F86" s="36">
        <v>0</v>
      </c>
      <c r="G86" s="50">
        <v>2015</v>
      </c>
      <c r="H86" s="50">
        <v>2015</v>
      </c>
      <c r="I86" s="51">
        <v>1.63</v>
      </c>
      <c r="J86" s="52">
        <f t="shared" si="4"/>
        <v>0</v>
      </c>
      <c r="K86" s="53">
        <f t="shared" si="5"/>
        <v>0</v>
      </c>
      <c r="L86" s="50"/>
      <c r="M86" s="36"/>
      <c r="N86" s="36">
        <f>D86</f>
        <v>2</v>
      </c>
      <c r="O86" s="54"/>
      <c r="P86" s="54"/>
      <c r="Q86" s="54"/>
      <c r="R86" s="36">
        <f t="shared" si="10"/>
        <v>2</v>
      </c>
      <c r="S86" s="36"/>
      <c r="T86" s="51">
        <v>0</v>
      </c>
      <c r="U86" s="51">
        <f>I86</f>
        <v>1.63</v>
      </c>
      <c r="V86" s="55">
        <v>0</v>
      </c>
      <c r="W86" s="56">
        <f t="shared" si="3"/>
        <v>1.63</v>
      </c>
      <c r="X86" s="637"/>
      <c r="Y86" s="15"/>
      <c r="Z86" s="46"/>
    </row>
    <row r="87" spans="1:26" s="4" customFormat="1" ht="33.75" customHeight="1">
      <c r="A87" s="48" t="s">
        <v>209</v>
      </c>
      <c r="B87" s="60" t="s">
        <v>210</v>
      </c>
      <c r="C87" s="36" t="s">
        <v>78</v>
      </c>
      <c r="D87" s="50">
        <v>1.26</v>
      </c>
      <c r="E87" s="50"/>
      <c r="F87" s="36">
        <v>0</v>
      </c>
      <c r="G87" s="50">
        <v>2015</v>
      </c>
      <c r="H87" s="50">
        <v>2015</v>
      </c>
      <c r="I87" s="51">
        <v>1.06</v>
      </c>
      <c r="J87" s="52">
        <f aca="true" t="shared" si="14" ref="J87:J138">V87</f>
        <v>0</v>
      </c>
      <c r="K87" s="53">
        <f aca="true" t="shared" si="15" ref="K87:K138">V87</f>
        <v>0</v>
      </c>
      <c r="L87" s="50"/>
      <c r="M87" s="36"/>
      <c r="N87" s="36">
        <f>D87</f>
        <v>1.26</v>
      </c>
      <c r="O87" s="54"/>
      <c r="P87" s="54"/>
      <c r="Q87" s="54"/>
      <c r="R87" s="36">
        <f t="shared" si="10"/>
        <v>1.26</v>
      </c>
      <c r="S87" s="36"/>
      <c r="T87" s="51">
        <v>0</v>
      </c>
      <c r="U87" s="51">
        <f>I87</f>
        <v>1.06</v>
      </c>
      <c r="V87" s="55">
        <v>0</v>
      </c>
      <c r="W87" s="56">
        <f t="shared" si="3"/>
        <v>1.06</v>
      </c>
      <c r="X87" s="637"/>
      <c r="Y87" s="15"/>
      <c r="Z87" s="46"/>
    </row>
    <row r="88" spans="1:26" s="4" customFormat="1" ht="15.75">
      <c r="A88" s="48" t="s">
        <v>211</v>
      </c>
      <c r="B88" s="62" t="s">
        <v>212</v>
      </c>
      <c r="C88" s="36" t="s">
        <v>78</v>
      </c>
      <c r="D88" s="50">
        <v>2</v>
      </c>
      <c r="E88" s="50"/>
      <c r="F88" s="50">
        <v>0</v>
      </c>
      <c r="G88" s="50">
        <v>2015</v>
      </c>
      <c r="H88" s="50">
        <v>2016</v>
      </c>
      <c r="I88" s="51">
        <f>0.17+(1.57+0.09)*1.18</f>
        <v>2.1288</v>
      </c>
      <c r="J88" s="52">
        <f t="shared" si="14"/>
        <v>1.9588</v>
      </c>
      <c r="K88" s="53">
        <f t="shared" si="15"/>
        <v>1.9588</v>
      </c>
      <c r="L88" s="64"/>
      <c r="M88" s="64"/>
      <c r="N88" s="36">
        <v>0</v>
      </c>
      <c r="O88" s="36"/>
      <c r="P88" s="36">
        <v>2</v>
      </c>
      <c r="Q88" s="36"/>
      <c r="R88" s="36">
        <f t="shared" si="10"/>
        <v>2</v>
      </c>
      <c r="S88" s="36"/>
      <c r="T88" s="55">
        <v>0</v>
      </c>
      <c r="U88" s="51">
        <v>0.17</v>
      </c>
      <c r="V88" s="51">
        <f>(1.57+0.09)*1.18</f>
        <v>1.9588</v>
      </c>
      <c r="W88" s="56">
        <f t="shared" si="3"/>
        <v>2.1288</v>
      </c>
      <c r="X88" s="637"/>
      <c r="Y88" s="15"/>
      <c r="Z88" s="46"/>
    </row>
    <row r="89" spans="1:26" s="4" customFormat="1" ht="33.75" customHeight="1">
      <c r="A89" s="48" t="s">
        <v>213</v>
      </c>
      <c r="B89" s="61" t="s">
        <v>214</v>
      </c>
      <c r="C89" s="36" t="s">
        <v>78</v>
      </c>
      <c r="D89" s="50">
        <v>2</v>
      </c>
      <c r="E89" s="50"/>
      <c r="F89" s="36">
        <v>0</v>
      </c>
      <c r="G89" s="50">
        <v>2015</v>
      </c>
      <c r="H89" s="50">
        <v>2015</v>
      </c>
      <c r="I89" s="51">
        <v>1.91</v>
      </c>
      <c r="J89" s="52">
        <f t="shared" si="14"/>
        <v>0</v>
      </c>
      <c r="K89" s="53">
        <f t="shared" si="15"/>
        <v>0</v>
      </c>
      <c r="L89" s="50"/>
      <c r="M89" s="36"/>
      <c r="N89" s="36">
        <f>D89</f>
        <v>2</v>
      </c>
      <c r="O89" s="54"/>
      <c r="P89" s="54"/>
      <c r="Q89" s="54"/>
      <c r="R89" s="36">
        <f t="shared" si="10"/>
        <v>2</v>
      </c>
      <c r="S89" s="36"/>
      <c r="T89" s="51">
        <v>0</v>
      </c>
      <c r="U89" s="51">
        <f>I89</f>
        <v>1.91</v>
      </c>
      <c r="V89" s="55">
        <v>0</v>
      </c>
      <c r="W89" s="56">
        <f t="shared" si="3"/>
        <v>1.91</v>
      </c>
      <c r="X89" s="637"/>
      <c r="Y89" s="15"/>
      <c r="Z89" s="46"/>
    </row>
    <row r="90" spans="1:26" s="4" customFormat="1" ht="33.75" customHeight="1">
      <c r="A90" s="48" t="s">
        <v>215</v>
      </c>
      <c r="B90" s="61" t="s">
        <v>216</v>
      </c>
      <c r="C90" s="36" t="s">
        <v>78</v>
      </c>
      <c r="D90" s="50">
        <v>1.26</v>
      </c>
      <c r="E90" s="50"/>
      <c r="F90" s="36">
        <v>0</v>
      </c>
      <c r="G90" s="50">
        <v>2015</v>
      </c>
      <c r="H90" s="50">
        <v>2015</v>
      </c>
      <c r="I90" s="51">
        <v>0.46</v>
      </c>
      <c r="J90" s="52">
        <f t="shared" si="14"/>
        <v>0</v>
      </c>
      <c r="K90" s="53">
        <f t="shared" si="15"/>
        <v>0</v>
      </c>
      <c r="L90" s="50"/>
      <c r="M90" s="36"/>
      <c r="N90" s="36">
        <f>D90</f>
        <v>1.26</v>
      </c>
      <c r="O90" s="54"/>
      <c r="P90" s="54"/>
      <c r="Q90" s="54"/>
      <c r="R90" s="36">
        <f t="shared" si="10"/>
        <v>1.26</v>
      </c>
      <c r="S90" s="36"/>
      <c r="T90" s="51">
        <v>0</v>
      </c>
      <c r="U90" s="51">
        <v>0.46</v>
      </c>
      <c r="V90" s="55">
        <v>0</v>
      </c>
      <c r="W90" s="56">
        <f t="shared" si="3"/>
        <v>0.46</v>
      </c>
      <c r="X90" s="637"/>
      <c r="Y90" s="15"/>
      <c r="Z90" s="46"/>
    </row>
    <row r="91" spans="1:26" s="4" customFormat="1" ht="15.75">
      <c r="A91" s="48" t="s">
        <v>217</v>
      </c>
      <c r="B91" s="72" t="s">
        <v>218</v>
      </c>
      <c r="C91" s="36" t="s">
        <v>78</v>
      </c>
      <c r="D91" s="36">
        <v>1.26</v>
      </c>
      <c r="E91" s="50"/>
      <c r="F91" s="50">
        <v>0</v>
      </c>
      <c r="G91" s="50">
        <v>2015</v>
      </c>
      <c r="H91" s="50">
        <v>2015</v>
      </c>
      <c r="I91" s="51">
        <f>(1.73+0.16)*1.18+1.15</f>
        <v>3.3802</v>
      </c>
      <c r="J91" s="52">
        <f t="shared" si="14"/>
        <v>1.15</v>
      </c>
      <c r="K91" s="53">
        <f t="shared" si="15"/>
        <v>1.15</v>
      </c>
      <c r="L91" s="64"/>
      <c r="M91" s="64"/>
      <c r="N91" s="36">
        <f>D91</f>
        <v>1.26</v>
      </c>
      <c r="O91" s="36"/>
      <c r="P91" s="36"/>
      <c r="Q91" s="36"/>
      <c r="R91" s="36">
        <f t="shared" si="10"/>
        <v>1.26</v>
      </c>
      <c r="S91" s="36"/>
      <c r="T91" s="55">
        <v>0</v>
      </c>
      <c r="U91" s="51">
        <f>(1.73+0.16)*1.18</f>
        <v>2.2302</v>
      </c>
      <c r="V91" s="51">
        <v>1.15</v>
      </c>
      <c r="W91" s="56">
        <f t="shared" si="3"/>
        <v>3.3802</v>
      </c>
      <c r="X91" s="637"/>
      <c r="Y91" s="15"/>
      <c r="Z91" s="46"/>
    </row>
    <row r="92" spans="1:26" s="4" customFormat="1" ht="33.75" customHeight="1">
      <c r="A92" s="48" t="s">
        <v>219</v>
      </c>
      <c r="B92" s="61" t="s">
        <v>220</v>
      </c>
      <c r="C92" s="36" t="s">
        <v>78</v>
      </c>
      <c r="D92" s="50">
        <v>0.32</v>
      </c>
      <c r="E92" s="50"/>
      <c r="F92" s="36">
        <v>0</v>
      </c>
      <c r="G92" s="50">
        <v>2015</v>
      </c>
      <c r="H92" s="50">
        <v>2015</v>
      </c>
      <c r="I92" s="51">
        <f>0.03+(0.48+0.05)*1.18</f>
        <v>0.6554</v>
      </c>
      <c r="J92" s="52">
        <f t="shared" si="14"/>
        <v>0</v>
      </c>
      <c r="K92" s="53">
        <f t="shared" si="15"/>
        <v>0</v>
      </c>
      <c r="L92" s="50"/>
      <c r="M92" s="36"/>
      <c r="N92" s="36">
        <v>0.32</v>
      </c>
      <c r="O92" s="54"/>
      <c r="P92" s="73">
        <v>0</v>
      </c>
      <c r="Q92" s="54"/>
      <c r="R92" s="36">
        <f t="shared" si="10"/>
        <v>0.32</v>
      </c>
      <c r="S92" s="36"/>
      <c r="T92" s="51">
        <v>0</v>
      </c>
      <c r="U92" s="51">
        <f>0.03+(0.48+0.05)*1.18</f>
        <v>0.6554</v>
      </c>
      <c r="V92" s="51">
        <v>0</v>
      </c>
      <c r="W92" s="56">
        <f t="shared" si="3"/>
        <v>0.6554</v>
      </c>
      <c r="X92" s="637"/>
      <c r="Y92" s="15"/>
      <c r="Z92" s="46"/>
    </row>
    <row r="93" spans="1:26" s="4" customFormat="1" ht="33.75" customHeight="1">
      <c r="A93" s="48" t="s">
        <v>221</v>
      </c>
      <c r="B93" s="68" t="s">
        <v>222</v>
      </c>
      <c r="C93" s="36" t="s">
        <v>78</v>
      </c>
      <c r="D93" s="50">
        <v>1.26</v>
      </c>
      <c r="E93" s="50"/>
      <c r="F93" s="36">
        <v>0</v>
      </c>
      <c r="G93" s="50">
        <v>2015</v>
      </c>
      <c r="H93" s="50">
        <v>2015</v>
      </c>
      <c r="I93" s="51">
        <v>1.58</v>
      </c>
      <c r="J93" s="52">
        <f t="shared" si="14"/>
        <v>0</v>
      </c>
      <c r="K93" s="53">
        <f t="shared" si="15"/>
        <v>0</v>
      </c>
      <c r="L93" s="50"/>
      <c r="M93" s="36"/>
      <c r="N93" s="36">
        <f>D93</f>
        <v>1.26</v>
      </c>
      <c r="O93" s="54"/>
      <c r="P93" s="54"/>
      <c r="Q93" s="54"/>
      <c r="R93" s="36">
        <f t="shared" si="10"/>
        <v>1.26</v>
      </c>
      <c r="S93" s="36"/>
      <c r="T93" s="51">
        <v>0</v>
      </c>
      <c r="U93" s="51">
        <f>I93</f>
        <v>1.58</v>
      </c>
      <c r="V93" s="55">
        <v>0</v>
      </c>
      <c r="W93" s="56">
        <f t="shared" si="3"/>
        <v>1.58</v>
      </c>
      <c r="X93" s="637"/>
      <c r="Y93" s="15"/>
      <c r="Z93" s="46"/>
    </row>
    <row r="94" spans="1:26" s="4" customFormat="1" ht="33.75" customHeight="1">
      <c r="A94" s="48" t="s">
        <v>223</v>
      </c>
      <c r="B94" s="68" t="s">
        <v>224</v>
      </c>
      <c r="C94" s="36" t="s">
        <v>78</v>
      </c>
      <c r="D94" s="50">
        <v>1.26</v>
      </c>
      <c r="E94" s="50"/>
      <c r="F94" s="36">
        <v>0</v>
      </c>
      <c r="G94" s="50">
        <v>2015</v>
      </c>
      <c r="H94" s="50">
        <v>2015</v>
      </c>
      <c r="I94" s="51">
        <v>0.07</v>
      </c>
      <c r="J94" s="52">
        <f t="shared" si="14"/>
        <v>0</v>
      </c>
      <c r="K94" s="53">
        <f t="shared" si="15"/>
        <v>0</v>
      </c>
      <c r="L94" s="50"/>
      <c r="M94" s="36"/>
      <c r="N94" s="36">
        <f>D94</f>
        <v>1.26</v>
      </c>
      <c r="O94" s="54"/>
      <c r="P94" s="54"/>
      <c r="Q94" s="54"/>
      <c r="R94" s="36">
        <f t="shared" si="10"/>
        <v>1.26</v>
      </c>
      <c r="S94" s="36"/>
      <c r="T94" s="51">
        <v>0</v>
      </c>
      <c r="U94" s="51">
        <f>I94</f>
        <v>0.07</v>
      </c>
      <c r="V94" s="55">
        <v>0</v>
      </c>
      <c r="W94" s="56">
        <f t="shared" si="3"/>
        <v>0.07</v>
      </c>
      <c r="X94" s="637"/>
      <c r="Y94" s="15"/>
      <c r="Z94" s="46"/>
    </row>
    <row r="95" spans="1:26" s="4" customFormat="1" ht="33.75" customHeight="1">
      <c r="A95" s="48" t="s">
        <v>225</v>
      </c>
      <c r="B95" s="68" t="s">
        <v>226</v>
      </c>
      <c r="C95" s="36" t="s">
        <v>78</v>
      </c>
      <c r="D95" s="50">
        <v>1.26</v>
      </c>
      <c r="E95" s="50"/>
      <c r="F95" s="36">
        <v>0</v>
      </c>
      <c r="G95" s="50">
        <v>2015</v>
      </c>
      <c r="H95" s="50">
        <v>2016</v>
      </c>
      <c r="I95" s="51">
        <f>0.07+(0.62+0.04)*1.18</f>
        <v>0.8488</v>
      </c>
      <c r="J95" s="52">
        <f t="shared" si="14"/>
        <v>0.7788</v>
      </c>
      <c r="K95" s="53">
        <f t="shared" si="15"/>
        <v>0.7788</v>
      </c>
      <c r="L95" s="50"/>
      <c r="M95" s="36"/>
      <c r="N95" s="36">
        <v>0</v>
      </c>
      <c r="O95" s="54"/>
      <c r="P95" s="73">
        <v>1.26</v>
      </c>
      <c r="Q95" s="54"/>
      <c r="R95" s="36">
        <f t="shared" si="10"/>
        <v>1.26</v>
      </c>
      <c r="S95" s="36"/>
      <c r="T95" s="51">
        <v>0</v>
      </c>
      <c r="U95" s="51">
        <f>0.07</f>
        <v>0.07</v>
      </c>
      <c r="V95" s="51">
        <f>(0.62+0.04)*1.18</f>
        <v>0.7788</v>
      </c>
      <c r="W95" s="56">
        <f t="shared" si="3"/>
        <v>0.8488</v>
      </c>
      <c r="X95" s="637"/>
      <c r="Y95" s="15"/>
      <c r="Z95" s="46"/>
    </row>
    <row r="96" spans="1:26" s="4" customFormat="1" ht="15.75">
      <c r="A96" s="48" t="s">
        <v>227</v>
      </c>
      <c r="B96" s="72" t="s">
        <v>228</v>
      </c>
      <c r="C96" s="36" t="s">
        <v>78</v>
      </c>
      <c r="D96" s="50">
        <v>2</v>
      </c>
      <c r="E96" s="50"/>
      <c r="F96" s="50">
        <v>0</v>
      </c>
      <c r="G96" s="50">
        <v>2015</v>
      </c>
      <c r="H96" s="50">
        <v>2015</v>
      </c>
      <c r="I96" s="51">
        <f>(1.73+0.16)*1.18</f>
        <v>2.2302</v>
      </c>
      <c r="J96" s="52">
        <f t="shared" si="14"/>
        <v>0</v>
      </c>
      <c r="K96" s="53">
        <f t="shared" si="15"/>
        <v>0</v>
      </c>
      <c r="L96" s="64"/>
      <c r="M96" s="64"/>
      <c r="N96" s="36">
        <f aca="true" t="shared" si="16" ref="N96:N118">D96</f>
        <v>2</v>
      </c>
      <c r="O96" s="36"/>
      <c r="P96" s="36"/>
      <c r="Q96" s="36"/>
      <c r="R96" s="36">
        <f t="shared" si="10"/>
        <v>2</v>
      </c>
      <c r="S96" s="36"/>
      <c r="T96" s="55">
        <v>0</v>
      </c>
      <c r="U96" s="51">
        <f aca="true" t="shared" si="17" ref="U96:U117">I96</f>
        <v>2.2302</v>
      </c>
      <c r="V96" s="55">
        <v>0</v>
      </c>
      <c r="W96" s="56">
        <f t="shared" si="3"/>
        <v>2.2302</v>
      </c>
      <c r="X96" s="637"/>
      <c r="Y96" s="15"/>
      <c r="Z96" s="46"/>
    </row>
    <row r="97" spans="1:26" s="4" customFormat="1" ht="33.75" customHeight="1">
      <c r="A97" s="48" t="s">
        <v>229</v>
      </c>
      <c r="B97" s="60" t="s">
        <v>230</v>
      </c>
      <c r="C97" s="36" t="s">
        <v>78</v>
      </c>
      <c r="D97" s="50">
        <v>0.8</v>
      </c>
      <c r="E97" s="50"/>
      <c r="F97" s="36">
        <v>0</v>
      </c>
      <c r="G97" s="50">
        <v>2015</v>
      </c>
      <c r="H97" s="50">
        <v>2015</v>
      </c>
      <c r="I97" s="51">
        <v>0.47</v>
      </c>
      <c r="J97" s="52">
        <f t="shared" si="14"/>
        <v>0</v>
      </c>
      <c r="K97" s="53">
        <f t="shared" si="15"/>
        <v>0</v>
      </c>
      <c r="L97" s="50"/>
      <c r="M97" s="36"/>
      <c r="N97" s="36">
        <f t="shared" si="16"/>
        <v>0.8</v>
      </c>
      <c r="O97" s="54"/>
      <c r="P97" s="54"/>
      <c r="Q97" s="54"/>
      <c r="R97" s="36">
        <f t="shared" si="10"/>
        <v>0.8</v>
      </c>
      <c r="S97" s="36"/>
      <c r="T97" s="51">
        <v>0</v>
      </c>
      <c r="U97" s="51">
        <f t="shared" si="17"/>
        <v>0.47</v>
      </c>
      <c r="V97" s="55">
        <v>0</v>
      </c>
      <c r="W97" s="56">
        <f t="shared" si="3"/>
        <v>0.47</v>
      </c>
      <c r="X97" s="637"/>
      <c r="Y97" s="15"/>
      <c r="Z97" s="46"/>
    </row>
    <row r="98" spans="1:26" s="4" customFormat="1" ht="15.75">
      <c r="A98" s="48" t="s">
        <v>231</v>
      </c>
      <c r="B98" s="72" t="s">
        <v>232</v>
      </c>
      <c r="C98" s="36" t="s">
        <v>78</v>
      </c>
      <c r="D98" s="36">
        <v>1.26</v>
      </c>
      <c r="E98" s="36"/>
      <c r="F98" s="36">
        <v>0</v>
      </c>
      <c r="G98" s="50">
        <v>2015</v>
      </c>
      <c r="H98" s="50">
        <v>2015</v>
      </c>
      <c r="I98" s="51">
        <v>0.64</v>
      </c>
      <c r="J98" s="52">
        <f t="shared" si="14"/>
        <v>0</v>
      </c>
      <c r="K98" s="53">
        <f t="shared" si="15"/>
        <v>0</v>
      </c>
      <c r="L98" s="64"/>
      <c r="M98" s="64"/>
      <c r="N98" s="36">
        <f t="shared" si="16"/>
        <v>1.26</v>
      </c>
      <c r="O98" s="36"/>
      <c r="P98" s="36"/>
      <c r="Q98" s="36"/>
      <c r="R98" s="36">
        <f t="shared" si="10"/>
        <v>1.26</v>
      </c>
      <c r="S98" s="36"/>
      <c r="T98" s="55">
        <v>0</v>
      </c>
      <c r="U98" s="51">
        <f t="shared" si="17"/>
        <v>0.64</v>
      </c>
      <c r="V98" s="55">
        <v>0</v>
      </c>
      <c r="W98" s="56">
        <f t="shared" si="3"/>
        <v>0.64</v>
      </c>
      <c r="X98" s="637"/>
      <c r="Y98" s="15"/>
      <c r="Z98" s="46"/>
    </row>
    <row r="99" spans="1:26" s="4" customFormat="1" ht="15.75">
      <c r="A99" s="48" t="s">
        <v>233</v>
      </c>
      <c r="B99" s="58" t="s">
        <v>234</v>
      </c>
      <c r="C99" s="36" t="s">
        <v>78</v>
      </c>
      <c r="D99" s="36">
        <v>0.16</v>
      </c>
      <c r="E99" s="36"/>
      <c r="F99" s="36">
        <v>1.88</v>
      </c>
      <c r="G99" s="50">
        <v>2015</v>
      </c>
      <c r="H99" s="50">
        <v>2015</v>
      </c>
      <c r="I99" s="51">
        <f>(0.39+0.04)*1.18</f>
        <v>0.5074</v>
      </c>
      <c r="J99" s="52">
        <f t="shared" si="14"/>
        <v>0</v>
      </c>
      <c r="K99" s="53">
        <f t="shared" si="15"/>
        <v>0</v>
      </c>
      <c r="L99" s="64"/>
      <c r="M99" s="64"/>
      <c r="N99" s="36">
        <f t="shared" si="16"/>
        <v>0.16</v>
      </c>
      <c r="O99" s="36"/>
      <c r="P99" s="54"/>
      <c r="Q99" s="54"/>
      <c r="R99" s="36">
        <f t="shared" si="10"/>
        <v>0.16</v>
      </c>
      <c r="S99" s="36"/>
      <c r="T99" s="55">
        <v>0</v>
      </c>
      <c r="U99" s="51">
        <f t="shared" si="17"/>
        <v>0.5074</v>
      </c>
      <c r="V99" s="55">
        <v>0</v>
      </c>
      <c r="W99" s="56">
        <f t="shared" si="3"/>
        <v>0.5074</v>
      </c>
      <c r="X99" s="637"/>
      <c r="Y99" s="15"/>
      <c r="Z99" s="46"/>
    </row>
    <row r="100" spans="1:26" s="4" customFormat="1" ht="33.75" customHeight="1">
      <c r="A100" s="48" t="s">
        <v>235</v>
      </c>
      <c r="B100" s="57" t="s">
        <v>236</v>
      </c>
      <c r="C100" s="36" t="s">
        <v>78</v>
      </c>
      <c r="D100" s="50">
        <v>0.25</v>
      </c>
      <c r="E100" s="50"/>
      <c r="F100" s="36">
        <v>0</v>
      </c>
      <c r="G100" s="50">
        <v>2015</v>
      </c>
      <c r="H100" s="50">
        <v>2015</v>
      </c>
      <c r="I100" s="51">
        <v>0.36</v>
      </c>
      <c r="J100" s="52">
        <f t="shared" si="14"/>
        <v>0</v>
      </c>
      <c r="K100" s="53">
        <f t="shared" si="15"/>
        <v>0</v>
      </c>
      <c r="L100" s="50"/>
      <c r="M100" s="36"/>
      <c r="N100" s="36">
        <f t="shared" si="16"/>
        <v>0.25</v>
      </c>
      <c r="O100" s="54"/>
      <c r="P100" s="54"/>
      <c r="Q100" s="54"/>
      <c r="R100" s="36">
        <f t="shared" si="10"/>
        <v>0.25</v>
      </c>
      <c r="S100" s="36"/>
      <c r="T100" s="51">
        <v>0</v>
      </c>
      <c r="U100" s="51">
        <f t="shared" si="17"/>
        <v>0.36</v>
      </c>
      <c r="V100" s="55">
        <v>0</v>
      </c>
      <c r="W100" s="56">
        <f t="shared" si="3"/>
        <v>0.36</v>
      </c>
      <c r="X100" s="637"/>
      <c r="Y100" s="15"/>
      <c r="Z100" s="46"/>
    </row>
    <row r="101" spans="1:26" s="4" customFormat="1" ht="15.75">
      <c r="A101" s="48" t="s">
        <v>237</v>
      </c>
      <c r="B101" s="58" t="s">
        <v>238</v>
      </c>
      <c r="C101" s="36" t="s">
        <v>78</v>
      </c>
      <c r="D101" s="36">
        <v>0.4</v>
      </c>
      <c r="E101" s="36"/>
      <c r="F101" s="36">
        <v>1.36</v>
      </c>
      <c r="G101" s="50">
        <v>2015</v>
      </c>
      <c r="H101" s="50">
        <v>2015</v>
      </c>
      <c r="I101" s="51">
        <f>(0.49+0.05)*1.18</f>
        <v>0.6372</v>
      </c>
      <c r="J101" s="52">
        <f t="shared" si="14"/>
        <v>0</v>
      </c>
      <c r="K101" s="53">
        <f t="shared" si="15"/>
        <v>0</v>
      </c>
      <c r="L101" s="64"/>
      <c r="M101" s="64"/>
      <c r="N101" s="36">
        <f t="shared" si="16"/>
        <v>0.4</v>
      </c>
      <c r="O101" s="36"/>
      <c r="P101" s="54"/>
      <c r="Q101" s="54"/>
      <c r="R101" s="36">
        <f t="shared" si="10"/>
        <v>0.4</v>
      </c>
      <c r="S101" s="36"/>
      <c r="T101" s="55">
        <v>0</v>
      </c>
      <c r="U101" s="51">
        <f t="shared" si="17"/>
        <v>0.6372</v>
      </c>
      <c r="V101" s="55">
        <v>0</v>
      </c>
      <c r="W101" s="56">
        <f t="shared" si="3"/>
        <v>0.6372</v>
      </c>
      <c r="X101" s="637"/>
      <c r="Y101" s="15"/>
      <c r="Z101" s="46"/>
    </row>
    <row r="102" spans="1:26" s="4" customFormat="1" ht="33.75" customHeight="1">
      <c r="A102" s="48" t="s">
        <v>239</v>
      </c>
      <c r="B102" s="61" t="s">
        <v>240</v>
      </c>
      <c r="C102" s="36" t="s">
        <v>78</v>
      </c>
      <c r="D102" s="50">
        <v>0.25</v>
      </c>
      <c r="E102" s="50"/>
      <c r="F102" s="36">
        <v>9.05</v>
      </c>
      <c r="G102" s="50">
        <v>2015</v>
      </c>
      <c r="H102" s="50">
        <v>2015</v>
      </c>
      <c r="I102" s="51">
        <v>0.44</v>
      </c>
      <c r="J102" s="52">
        <f t="shared" si="14"/>
        <v>0</v>
      </c>
      <c r="K102" s="53">
        <f t="shared" si="15"/>
        <v>0</v>
      </c>
      <c r="L102" s="50"/>
      <c r="M102" s="36"/>
      <c r="N102" s="36">
        <f t="shared" si="16"/>
        <v>0.25</v>
      </c>
      <c r="O102" s="54"/>
      <c r="P102" s="54"/>
      <c r="Q102" s="54"/>
      <c r="R102" s="36">
        <f t="shared" si="10"/>
        <v>0.25</v>
      </c>
      <c r="S102" s="36"/>
      <c r="T102" s="51">
        <v>0</v>
      </c>
      <c r="U102" s="51">
        <f t="shared" si="17"/>
        <v>0.44</v>
      </c>
      <c r="V102" s="55">
        <v>0</v>
      </c>
      <c r="W102" s="56">
        <f t="shared" si="3"/>
        <v>0.44</v>
      </c>
      <c r="X102" s="637"/>
      <c r="Y102" s="15"/>
      <c r="Z102" s="46"/>
    </row>
    <row r="103" spans="1:26" s="4" customFormat="1" ht="33.75" customHeight="1">
      <c r="A103" s="74" t="s">
        <v>241</v>
      </c>
      <c r="B103" s="61" t="s">
        <v>242</v>
      </c>
      <c r="C103" s="36" t="s">
        <v>78</v>
      </c>
      <c r="D103" s="50">
        <v>2.26</v>
      </c>
      <c r="E103" s="50"/>
      <c r="F103" s="36">
        <v>0</v>
      </c>
      <c r="G103" s="50">
        <v>2015</v>
      </c>
      <c r="H103" s="50">
        <v>2015</v>
      </c>
      <c r="I103" s="51">
        <v>2.11</v>
      </c>
      <c r="J103" s="52">
        <f t="shared" si="14"/>
        <v>0</v>
      </c>
      <c r="K103" s="53">
        <f t="shared" si="15"/>
        <v>0</v>
      </c>
      <c r="L103" s="50"/>
      <c r="M103" s="36"/>
      <c r="N103" s="36">
        <f t="shared" si="16"/>
        <v>2.26</v>
      </c>
      <c r="O103" s="54"/>
      <c r="P103" s="54"/>
      <c r="Q103" s="54"/>
      <c r="R103" s="36">
        <f t="shared" si="10"/>
        <v>2.26</v>
      </c>
      <c r="S103" s="36"/>
      <c r="T103" s="51">
        <v>0</v>
      </c>
      <c r="U103" s="51">
        <f t="shared" si="17"/>
        <v>2.11</v>
      </c>
      <c r="V103" s="55">
        <v>0</v>
      </c>
      <c r="W103" s="56">
        <f t="shared" si="3"/>
        <v>2.11</v>
      </c>
      <c r="X103" s="637"/>
      <c r="Y103" s="15"/>
      <c r="Z103" s="46"/>
    </row>
    <row r="104" spans="1:26" s="4" customFormat="1" ht="33.75" customHeight="1">
      <c r="A104" s="74" t="s">
        <v>243</v>
      </c>
      <c r="B104" s="75" t="s">
        <v>244</v>
      </c>
      <c r="C104" s="36" t="s">
        <v>78</v>
      </c>
      <c r="D104" s="50">
        <v>0.4</v>
      </c>
      <c r="E104" s="50"/>
      <c r="F104" s="36">
        <v>0</v>
      </c>
      <c r="G104" s="50">
        <v>2015</v>
      </c>
      <c r="H104" s="50">
        <v>2015</v>
      </c>
      <c r="I104" s="51">
        <v>0.12</v>
      </c>
      <c r="J104" s="52">
        <f t="shared" si="14"/>
        <v>0</v>
      </c>
      <c r="K104" s="53">
        <f t="shared" si="15"/>
        <v>0</v>
      </c>
      <c r="L104" s="50"/>
      <c r="M104" s="36"/>
      <c r="N104" s="36">
        <f t="shared" si="16"/>
        <v>0.4</v>
      </c>
      <c r="O104" s="54"/>
      <c r="P104" s="54"/>
      <c r="Q104" s="54"/>
      <c r="R104" s="36">
        <f t="shared" si="10"/>
        <v>0.4</v>
      </c>
      <c r="S104" s="36"/>
      <c r="T104" s="51">
        <v>0</v>
      </c>
      <c r="U104" s="51">
        <f t="shared" si="17"/>
        <v>0.12</v>
      </c>
      <c r="V104" s="55">
        <v>0</v>
      </c>
      <c r="W104" s="56">
        <f t="shared" si="3"/>
        <v>0.12</v>
      </c>
      <c r="X104" s="637"/>
      <c r="Y104" s="15"/>
      <c r="Z104" s="46"/>
    </row>
    <row r="105" spans="1:26" s="4" customFormat="1" ht="33.75" customHeight="1">
      <c r="A105" s="74" t="s">
        <v>245</v>
      </c>
      <c r="B105" s="70" t="s">
        <v>246</v>
      </c>
      <c r="C105" s="36" t="s">
        <v>78</v>
      </c>
      <c r="D105" s="50">
        <v>0.8</v>
      </c>
      <c r="E105" s="50"/>
      <c r="F105" s="36">
        <v>0</v>
      </c>
      <c r="G105" s="50">
        <v>2015</v>
      </c>
      <c r="H105" s="50">
        <v>2015</v>
      </c>
      <c r="I105" s="51">
        <v>0.27</v>
      </c>
      <c r="J105" s="52">
        <f t="shared" si="14"/>
        <v>0</v>
      </c>
      <c r="K105" s="53">
        <f t="shared" si="15"/>
        <v>0</v>
      </c>
      <c r="L105" s="50"/>
      <c r="M105" s="36"/>
      <c r="N105" s="36">
        <f t="shared" si="16"/>
        <v>0.8</v>
      </c>
      <c r="O105" s="54"/>
      <c r="P105" s="54"/>
      <c r="Q105" s="54"/>
      <c r="R105" s="36">
        <f t="shared" si="10"/>
        <v>0.8</v>
      </c>
      <c r="S105" s="36"/>
      <c r="T105" s="51">
        <v>0</v>
      </c>
      <c r="U105" s="51">
        <f t="shared" si="17"/>
        <v>0.27</v>
      </c>
      <c r="V105" s="55">
        <v>0</v>
      </c>
      <c r="W105" s="56">
        <f t="shared" si="3"/>
        <v>0.27</v>
      </c>
      <c r="X105" s="637"/>
      <c r="Y105" s="15"/>
      <c r="Z105" s="46"/>
    </row>
    <row r="106" spans="1:26" s="4" customFormat="1" ht="33.75" customHeight="1">
      <c r="A106" s="74" t="s">
        <v>247</v>
      </c>
      <c r="B106" s="60" t="s">
        <v>248</v>
      </c>
      <c r="C106" s="36" t="s">
        <v>78</v>
      </c>
      <c r="D106" s="50">
        <v>0.25</v>
      </c>
      <c r="E106" s="50"/>
      <c r="F106" s="36">
        <v>0</v>
      </c>
      <c r="G106" s="50">
        <v>2015</v>
      </c>
      <c r="H106" s="50">
        <v>2015</v>
      </c>
      <c r="I106" s="51">
        <v>0.18</v>
      </c>
      <c r="J106" s="52">
        <f t="shared" si="14"/>
        <v>0</v>
      </c>
      <c r="K106" s="53">
        <f t="shared" si="15"/>
        <v>0</v>
      </c>
      <c r="L106" s="50"/>
      <c r="M106" s="36"/>
      <c r="N106" s="36">
        <f t="shared" si="16"/>
        <v>0.25</v>
      </c>
      <c r="O106" s="54"/>
      <c r="P106" s="54"/>
      <c r="Q106" s="54"/>
      <c r="R106" s="36">
        <f t="shared" si="10"/>
        <v>0.25</v>
      </c>
      <c r="S106" s="36"/>
      <c r="T106" s="51">
        <v>0</v>
      </c>
      <c r="U106" s="51">
        <f t="shared" si="17"/>
        <v>0.18</v>
      </c>
      <c r="V106" s="55">
        <v>0</v>
      </c>
      <c r="W106" s="56">
        <f t="shared" si="3"/>
        <v>0.18</v>
      </c>
      <c r="X106" s="637"/>
      <c r="Y106" s="15"/>
      <c r="Z106" s="46"/>
    </row>
    <row r="107" spans="1:26" s="4" customFormat="1" ht="33.75" customHeight="1">
      <c r="A107" s="74" t="s">
        <v>249</v>
      </c>
      <c r="B107" s="68" t="s">
        <v>250</v>
      </c>
      <c r="C107" s="36" t="s">
        <v>78</v>
      </c>
      <c r="D107" s="50">
        <v>1.26</v>
      </c>
      <c r="E107" s="50"/>
      <c r="F107" s="36">
        <v>0</v>
      </c>
      <c r="G107" s="50">
        <v>2015</v>
      </c>
      <c r="H107" s="50">
        <v>2015</v>
      </c>
      <c r="I107" s="51">
        <v>0.28</v>
      </c>
      <c r="J107" s="52">
        <f t="shared" si="14"/>
        <v>0</v>
      </c>
      <c r="K107" s="53">
        <f t="shared" si="15"/>
        <v>0</v>
      </c>
      <c r="L107" s="50"/>
      <c r="M107" s="36"/>
      <c r="N107" s="36">
        <f t="shared" si="16"/>
        <v>1.26</v>
      </c>
      <c r="O107" s="54"/>
      <c r="P107" s="54"/>
      <c r="Q107" s="54"/>
      <c r="R107" s="36">
        <f t="shared" si="10"/>
        <v>1.26</v>
      </c>
      <c r="S107" s="36"/>
      <c r="T107" s="51">
        <v>0</v>
      </c>
      <c r="U107" s="51">
        <f t="shared" si="17"/>
        <v>0.28</v>
      </c>
      <c r="V107" s="55">
        <v>0</v>
      </c>
      <c r="W107" s="56">
        <f t="shared" si="3"/>
        <v>0.28</v>
      </c>
      <c r="X107" s="637"/>
      <c r="Y107" s="15"/>
      <c r="Z107" s="46"/>
    </row>
    <row r="108" spans="1:26" s="4" customFormat="1" ht="33.75" customHeight="1">
      <c r="A108" s="74" t="s">
        <v>251</v>
      </c>
      <c r="B108" s="60" t="s">
        <v>252</v>
      </c>
      <c r="C108" s="36" t="s">
        <v>78</v>
      </c>
      <c r="D108" s="50">
        <v>0.25</v>
      </c>
      <c r="E108" s="50"/>
      <c r="F108" s="36">
        <v>0</v>
      </c>
      <c r="G108" s="50">
        <v>2015</v>
      </c>
      <c r="H108" s="50">
        <v>2015</v>
      </c>
      <c r="I108" s="51">
        <v>0.14</v>
      </c>
      <c r="J108" s="52">
        <f t="shared" si="14"/>
        <v>0</v>
      </c>
      <c r="K108" s="53">
        <f t="shared" si="15"/>
        <v>0</v>
      </c>
      <c r="L108" s="50"/>
      <c r="M108" s="36"/>
      <c r="N108" s="36">
        <f t="shared" si="16"/>
        <v>0.25</v>
      </c>
      <c r="O108" s="54"/>
      <c r="P108" s="54"/>
      <c r="Q108" s="54"/>
      <c r="R108" s="36">
        <f t="shared" si="10"/>
        <v>0.25</v>
      </c>
      <c r="S108" s="36"/>
      <c r="T108" s="51">
        <v>0</v>
      </c>
      <c r="U108" s="51">
        <f t="shared" si="17"/>
        <v>0.14</v>
      </c>
      <c r="V108" s="55">
        <v>0</v>
      </c>
      <c r="W108" s="56">
        <f t="shared" si="3"/>
        <v>0.14</v>
      </c>
      <c r="X108" s="637"/>
      <c r="Y108" s="15"/>
      <c r="Z108" s="46"/>
    </row>
    <row r="109" spans="1:26" s="4" customFormat="1" ht="33.75" customHeight="1">
      <c r="A109" s="74" t="s">
        <v>253</v>
      </c>
      <c r="B109" s="60" t="s">
        <v>254</v>
      </c>
      <c r="C109" s="36" t="s">
        <v>78</v>
      </c>
      <c r="D109" s="50">
        <v>0.4</v>
      </c>
      <c r="E109" s="50"/>
      <c r="F109" s="36">
        <v>0</v>
      </c>
      <c r="G109" s="50">
        <v>2015</v>
      </c>
      <c r="H109" s="50">
        <v>2015</v>
      </c>
      <c r="I109" s="51">
        <v>0.12</v>
      </c>
      <c r="J109" s="52">
        <f t="shared" si="14"/>
        <v>0</v>
      </c>
      <c r="K109" s="53">
        <f t="shared" si="15"/>
        <v>0</v>
      </c>
      <c r="L109" s="50"/>
      <c r="M109" s="36"/>
      <c r="N109" s="36">
        <f t="shared" si="16"/>
        <v>0.4</v>
      </c>
      <c r="O109" s="54"/>
      <c r="P109" s="54"/>
      <c r="Q109" s="54"/>
      <c r="R109" s="36">
        <f t="shared" si="10"/>
        <v>0.4</v>
      </c>
      <c r="S109" s="36"/>
      <c r="T109" s="51">
        <v>0</v>
      </c>
      <c r="U109" s="51">
        <f t="shared" si="17"/>
        <v>0.12</v>
      </c>
      <c r="V109" s="55">
        <v>0</v>
      </c>
      <c r="W109" s="56">
        <f t="shared" si="3"/>
        <v>0.12</v>
      </c>
      <c r="X109" s="637"/>
      <c r="Y109" s="15"/>
      <c r="Z109" s="46"/>
    </row>
    <row r="110" spans="1:26" s="4" customFormat="1" ht="33.75" customHeight="1">
      <c r="A110" s="74" t="s">
        <v>255</v>
      </c>
      <c r="B110" s="60" t="s">
        <v>256</v>
      </c>
      <c r="C110" s="36" t="s">
        <v>78</v>
      </c>
      <c r="D110" s="50">
        <v>0.16</v>
      </c>
      <c r="E110" s="50"/>
      <c r="F110" s="36">
        <v>0</v>
      </c>
      <c r="G110" s="50">
        <v>2015</v>
      </c>
      <c r="H110" s="50">
        <v>2015</v>
      </c>
      <c r="I110" s="51">
        <v>0.12</v>
      </c>
      <c r="J110" s="52">
        <f t="shared" si="14"/>
        <v>0</v>
      </c>
      <c r="K110" s="53">
        <f t="shared" si="15"/>
        <v>0</v>
      </c>
      <c r="L110" s="50"/>
      <c r="M110" s="36"/>
      <c r="N110" s="36">
        <f t="shared" si="16"/>
        <v>0.16</v>
      </c>
      <c r="O110" s="54"/>
      <c r="P110" s="54"/>
      <c r="Q110" s="54"/>
      <c r="R110" s="36">
        <f t="shared" si="10"/>
        <v>0.16</v>
      </c>
      <c r="S110" s="36"/>
      <c r="T110" s="51">
        <v>0</v>
      </c>
      <c r="U110" s="51">
        <f t="shared" si="17"/>
        <v>0.12</v>
      </c>
      <c r="V110" s="55">
        <v>0</v>
      </c>
      <c r="W110" s="56">
        <f t="shared" si="3"/>
        <v>0.12</v>
      </c>
      <c r="X110" s="637"/>
      <c r="Y110" s="15"/>
      <c r="Z110" s="46"/>
    </row>
    <row r="111" spans="1:26" s="4" customFormat="1" ht="33.75" customHeight="1">
      <c r="A111" s="74" t="s">
        <v>257</v>
      </c>
      <c r="B111" s="57" t="s">
        <v>258</v>
      </c>
      <c r="C111" s="36" t="s">
        <v>78</v>
      </c>
      <c r="D111" s="50">
        <v>0.25</v>
      </c>
      <c r="E111" s="50"/>
      <c r="F111" s="36">
        <v>0</v>
      </c>
      <c r="G111" s="50">
        <v>2015</v>
      </c>
      <c r="H111" s="50">
        <v>2015</v>
      </c>
      <c r="I111" s="51">
        <f>0.42+(0.73+0.07)*1.18</f>
        <v>1.3639999999999999</v>
      </c>
      <c r="J111" s="52">
        <f t="shared" si="14"/>
        <v>0</v>
      </c>
      <c r="K111" s="53">
        <f t="shared" si="15"/>
        <v>0</v>
      </c>
      <c r="L111" s="50"/>
      <c r="M111" s="36"/>
      <c r="N111" s="36">
        <f t="shared" si="16"/>
        <v>0.25</v>
      </c>
      <c r="O111" s="54"/>
      <c r="P111" s="54"/>
      <c r="Q111" s="54"/>
      <c r="R111" s="36">
        <f t="shared" si="10"/>
        <v>0.25</v>
      </c>
      <c r="S111" s="36"/>
      <c r="T111" s="51">
        <v>0</v>
      </c>
      <c r="U111" s="51">
        <f t="shared" si="17"/>
        <v>1.3639999999999999</v>
      </c>
      <c r="V111" s="55">
        <v>0</v>
      </c>
      <c r="W111" s="56">
        <f t="shared" si="3"/>
        <v>1.3639999999999999</v>
      </c>
      <c r="X111" s="637"/>
      <c r="Y111" s="15"/>
      <c r="Z111" s="46"/>
    </row>
    <row r="112" spans="1:26" s="4" customFormat="1" ht="33.75" customHeight="1">
      <c r="A112" s="74" t="s">
        <v>259</v>
      </c>
      <c r="B112" s="68" t="s">
        <v>260</v>
      </c>
      <c r="C112" s="36" t="s">
        <v>78</v>
      </c>
      <c r="D112" s="50">
        <v>0.4</v>
      </c>
      <c r="E112" s="50"/>
      <c r="F112" s="36">
        <v>0</v>
      </c>
      <c r="G112" s="50">
        <v>2015</v>
      </c>
      <c r="H112" s="50">
        <v>2015</v>
      </c>
      <c r="I112" s="51">
        <v>0.52</v>
      </c>
      <c r="J112" s="52">
        <f t="shared" si="14"/>
        <v>0</v>
      </c>
      <c r="K112" s="53">
        <f t="shared" si="15"/>
        <v>0</v>
      </c>
      <c r="L112" s="50"/>
      <c r="M112" s="36"/>
      <c r="N112" s="36">
        <f t="shared" si="16"/>
        <v>0.4</v>
      </c>
      <c r="O112" s="54"/>
      <c r="P112" s="54"/>
      <c r="Q112" s="54"/>
      <c r="R112" s="36">
        <f t="shared" si="10"/>
        <v>0.4</v>
      </c>
      <c r="S112" s="36"/>
      <c r="T112" s="51">
        <v>0</v>
      </c>
      <c r="U112" s="51">
        <f t="shared" si="17"/>
        <v>0.52</v>
      </c>
      <c r="V112" s="55">
        <v>0</v>
      </c>
      <c r="W112" s="56">
        <f t="shared" si="3"/>
        <v>0.52</v>
      </c>
      <c r="X112" s="637"/>
      <c r="Y112" s="15"/>
      <c r="Z112" s="46"/>
    </row>
    <row r="113" spans="1:26" s="4" customFormat="1" ht="33.75" customHeight="1">
      <c r="A113" s="74" t="s">
        <v>261</v>
      </c>
      <c r="B113" s="68" t="s">
        <v>262</v>
      </c>
      <c r="C113" s="36" t="s">
        <v>78</v>
      </c>
      <c r="D113" s="50">
        <v>0.4</v>
      </c>
      <c r="E113" s="50"/>
      <c r="F113" s="36">
        <v>0</v>
      </c>
      <c r="G113" s="50">
        <v>2015</v>
      </c>
      <c r="H113" s="50">
        <v>2015</v>
      </c>
      <c r="I113" s="51">
        <v>0.22</v>
      </c>
      <c r="J113" s="52">
        <f t="shared" si="14"/>
        <v>0</v>
      </c>
      <c r="K113" s="53">
        <f t="shared" si="15"/>
        <v>0</v>
      </c>
      <c r="L113" s="50"/>
      <c r="M113" s="36"/>
      <c r="N113" s="36">
        <f t="shared" si="16"/>
        <v>0.4</v>
      </c>
      <c r="O113" s="54"/>
      <c r="P113" s="54"/>
      <c r="Q113" s="54"/>
      <c r="R113" s="36">
        <f t="shared" si="10"/>
        <v>0.4</v>
      </c>
      <c r="S113" s="36"/>
      <c r="T113" s="51">
        <v>0</v>
      </c>
      <c r="U113" s="51">
        <f t="shared" si="17"/>
        <v>0.22</v>
      </c>
      <c r="V113" s="55">
        <v>0</v>
      </c>
      <c r="W113" s="56">
        <f t="shared" si="3"/>
        <v>0.22</v>
      </c>
      <c r="X113" s="637"/>
      <c r="Y113" s="15"/>
      <c r="Z113" s="46"/>
    </row>
    <row r="114" spans="1:26" s="4" customFormat="1" ht="33.75" customHeight="1">
      <c r="A114" s="74" t="s">
        <v>263</v>
      </c>
      <c r="B114" s="60" t="s">
        <v>264</v>
      </c>
      <c r="C114" s="36" t="s">
        <v>78</v>
      </c>
      <c r="D114" s="50">
        <v>0.16</v>
      </c>
      <c r="E114" s="50"/>
      <c r="F114" s="36">
        <v>0</v>
      </c>
      <c r="G114" s="50">
        <v>2015</v>
      </c>
      <c r="H114" s="50">
        <v>2015</v>
      </c>
      <c r="I114" s="51">
        <v>0.42</v>
      </c>
      <c r="J114" s="52">
        <f t="shared" si="14"/>
        <v>0</v>
      </c>
      <c r="K114" s="53">
        <f t="shared" si="15"/>
        <v>0</v>
      </c>
      <c r="L114" s="50"/>
      <c r="M114" s="36"/>
      <c r="N114" s="36">
        <f t="shared" si="16"/>
        <v>0.16</v>
      </c>
      <c r="O114" s="54"/>
      <c r="P114" s="54"/>
      <c r="Q114" s="54"/>
      <c r="R114" s="36">
        <f t="shared" si="10"/>
        <v>0.16</v>
      </c>
      <c r="S114" s="36"/>
      <c r="T114" s="51">
        <v>0</v>
      </c>
      <c r="U114" s="51">
        <f t="shared" si="17"/>
        <v>0.42</v>
      </c>
      <c r="V114" s="55">
        <v>0</v>
      </c>
      <c r="W114" s="56">
        <f t="shared" si="3"/>
        <v>0.42</v>
      </c>
      <c r="X114" s="637"/>
      <c r="Y114" s="15"/>
      <c r="Z114" s="46"/>
    </row>
    <row r="115" spans="1:26" s="4" customFormat="1" ht="33.75" customHeight="1">
      <c r="A115" s="74" t="s">
        <v>265</v>
      </c>
      <c r="B115" s="60" t="s">
        <v>266</v>
      </c>
      <c r="C115" s="36" t="s">
        <v>78</v>
      </c>
      <c r="D115" s="50">
        <v>0.25</v>
      </c>
      <c r="E115" s="50"/>
      <c r="F115" s="36">
        <v>0</v>
      </c>
      <c r="G115" s="50">
        <v>2015</v>
      </c>
      <c r="H115" s="50">
        <v>2015</v>
      </c>
      <c r="I115" s="51">
        <v>0.4</v>
      </c>
      <c r="J115" s="52">
        <f t="shared" si="14"/>
        <v>0</v>
      </c>
      <c r="K115" s="53">
        <f t="shared" si="15"/>
        <v>0</v>
      </c>
      <c r="L115" s="50"/>
      <c r="M115" s="36"/>
      <c r="N115" s="36">
        <f t="shared" si="16"/>
        <v>0.25</v>
      </c>
      <c r="O115" s="54"/>
      <c r="P115" s="54"/>
      <c r="Q115" s="54"/>
      <c r="R115" s="36">
        <f t="shared" si="10"/>
        <v>0.25</v>
      </c>
      <c r="S115" s="36"/>
      <c r="T115" s="51">
        <v>0</v>
      </c>
      <c r="U115" s="51">
        <f t="shared" si="17"/>
        <v>0.4</v>
      </c>
      <c r="V115" s="55">
        <v>0</v>
      </c>
      <c r="W115" s="56">
        <f t="shared" si="3"/>
        <v>0.4</v>
      </c>
      <c r="X115" s="637"/>
      <c r="Y115" s="15"/>
      <c r="Z115" s="46"/>
    </row>
    <row r="116" spans="1:26" s="4" customFormat="1" ht="33.75" customHeight="1">
      <c r="A116" s="74" t="s">
        <v>267</v>
      </c>
      <c r="B116" s="60" t="s">
        <v>268</v>
      </c>
      <c r="C116" s="36" t="s">
        <v>78</v>
      </c>
      <c r="D116" s="50">
        <v>0.8</v>
      </c>
      <c r="E116" s="50"/>
      <c r="F116" s="36">
        <v>0</v>
      </c>
      <c r="G116" s="50">
        <v>2015</v>
      </c>
      <c r="H116" s="50">
        <v>2015</v>
      </c>
      <c r="I116" s="51">
        <v>0.54</v>
      </c>
      <c r="J116" s="52">
        <f t="shared" si="14"/>
        <v>0</v>
      </c>
      <c r="K116" s="53">
        <f t="shared" si="15"/>
        <v>0</v>
      </c>
      <c r="L116" s="50"/>
      <c r="M116" s="36"/>
      <c r="N116" s="36">
        <f t="shared" si="16"/>
        <v>0.8</v>
      </c>
      <c r="O116" s="54"/>
      <c r="P116" s="54"/>
      <c r="Q116" s="54"/>
      <c r="R116" s="36">
        <f t="shared" si="10"/>
        <v>0.8</v>
      </c>
      <c r="S116" s="36"/>
      <c r="T116" s="51">
        <v>0</v>
      </c>
      <c r="U116" s="51">
        <f t="shared" si="17"/>
        <v>0.54</v>
      </c>
      <c r="V116" s="55">
        <v>0</v>
      </c>
      <c r="W116" s="56">
        <f t="shared" si="3"/>
        <v>0.54</v>
      </c>
      <c r="X116" s="637"/>
      <c r="Y116" s="15"/>
      <c r="Z116" s="46"/>
    </row>
    <row r="117" spans="1:26" s="4" customFormat="1" ht="33.75" customHeight="1">
      <c r="A117" s="74" t="s">
        <v>269</v>
      </c>
      <c r="B117" s="76" t="s">
        <v>270</v>
      </c>
      <c r="C117" s="36" t="s">
        <v>78</v>
      </c>
      <c r="D117" s="50">
        <v>2</v>
      </c>
      <c r="E117" s="50"/>
      <c r="F117" s="36">
        <v>0</v>
      </c>
      <c r="G117" s="50">
        <v>2015</v>
      </c>
      <c r="H117" s="50">
        <v>2015</v>
      </c>
      <c r="I117" s="51">
        <v>0.35</v>
      </c>
      <c r="J117" s="52">
        <f t="shared" si="14"/>
        <v>0</v>
      </c>
      <c r="K117" s="53">
        <f t="shared" si="15"/>
        <v>0</v>
      </c>
      <c r="L117" s="50"/>
      <c r="M117" s="36"/>
      <c r="N117" s="36">
        <f t="shared" si="16"/>
        <v>2</v>
      </c>
      <c r="O117" s="54"/>
      <c r="P117" s="54"/>
      <c r="Q117" s="54"/>
      <c r="R117" s="36">
        <f t="shared" si="10"/>
        <v>2</v>
      </c>
      <c r="S117" s="36"/>
      <c r="T117" s="51">
        <v>0</v>
      </c>
      <c r="U117" s="51">
        <f t="shared" si="17"/>
        <v>0.35</v>
      </c>
      <c r="V117" s="55">
        <v>0</v>
      </c>
      <c r="W117" s="56">
        <f t="shared" si="3"/>
        <v>0.35</v>
      </c>
      <c r="X117" s="637"/>
      <c r="Y117" s="15"/>
      <c r="Z117" s="46"/>
    </row>
    <row r="118" spans="1:26" s="4" customFormat="1" ht="33.75" customHeight="1">
      <c r="A118" s="74" t="s">
        <v>271</v>
      </c>
      <c r="B118" s="49" t="s">
        <v>272</v>
      </c>
      <c r="C118" s="36" t="s">
        <v>78</v>
      </c>
      <c r="D118" s="50">
        <v>5</v>
      </c>
      <c r="E118" s="50"/>
      <c r="F118" s="36">
        <v>0</v>
      </c>
      <c r="G118" s="50">
        <v>2015</v>
      </c>
      <c r="H118" s="50">
        <v>2016</v>
      </c>
      <c r="I118" s="51">
        <f>0.78+(6.67+0.64)*1.18+7.02+0.73</f>
        <v>17.1558</v>
      </c>
      <c r="J118" s="52">
        <f t="shared" si="14"/>
        <v>7.75</v>
      </c>
      <c r="K118" s="53">
        <f t="shared" si="15"/>
        <v>7.75</v>
      </c>
      <c r="L118" s="50"/>
      <c r="M118" s="36"/>
      <c r="N118" s="36">
        <f t="shared" si="16"/>
        <v>5</v>
      </c>
      <c r="O118" s="54"/>
      <c r="P118" s="54"/>
      <c r="Q118" s="54"/>
      <c r="R118" s="36">
        <f t="shared" si="10"/>
        <v>5</v>
      </c>
      <c r="S118" s="36"/>
      <c r="T118" s="51">
        <v>0</v>
      </c>
      <c r="U118" s="51">
        <f>0.78+(6.67+0.64)*1.18</f>
        <v>9.4058</v>
      </c>
      <c r="V118" s="55">
        <f>7.02+0.73</f>
        <v>7.75</v>
      </c>
      <c r="W118" s="56">
        <f t="shared" si="3"/>
        <v>17.1558</v>
      </c>
      <c r="X118" s="637"/>
      <c r="Y118" s="15"/>
      <c r="Z118" s="46"/>
    </row>
    <row r="119" spans="1:26" s="4" customFormat="1" ht="33.75" customHeight="1">
      <c r="A119" s="74" t="s">
        <v>273</v>
      </c>
      <c r="B119" s="49" t="s">
        <v>274</v>
      </c>
      <c r="C119" s="36" t="s">
        <v>78</v>
      </c>
      <c r="D119" s="50">
        <v>12.6</v>
      </c>
      <c r="E119" s="50"/>
      <c r="F119" s="36">
        <v>0</v>
      </c>
      <c r="G119" s="50">
        <v>2015</v>
      </c>
      <c r="H119" s="50">
        <v>2016</v>
      </c>
      <c r="I119" s="51">
        <f>5.36+(3.12+0.18)*1.18</f>
        <v>9.254000000000001</v>
      </c>
      <c r="J119" s="52">
        <f t="shared" si="14"/>
        <v>3.894</v>
      </c>
      <c r="K119" s="53">
        <f t="shared" si="15"/>
        <v>3.894</v>
      </c>
      <c r="L119" s="50"/>
      <c r="M119" s="36"/>
      <c r="N119" s="36">
        <v>0</v>
      </c>
      <c r="O119" s="54"/>
      <c r="P119" s="643">
        <v>12.6</v>
      </c>
      <c r="Q119" s="54"/>
      <c r="R119" s="36">
        <f t="shared" si="10"/>
        <v>12.6</v>
      </c>
      <c r="S119" s="36"/>
      <c r="T119" s="51">
        <v>0</v>
      </c>
      <c r="U119" s="51">
        <f>5.36</f>
        <v>5.36</v>
      </c>
      <c r="V119" s="51">
        <f>(3.12+0.18)*1.18</f>
        <v>3.894</v>
      </c>
      <c r="W119" s="56">
        <f t="shared" si="3"/>
        <v>9.254000000000001</v>
      </c>
      <c r="X119" s="637"/>
      <c r="Y119" s="15"/>
      <c r="Z119" s="46"/>
    </row>
    <row r="120" spans="1:26" s="4" customFormat="1" ht="33.75" customHeight="1">
      <c r="A120" s="74" t="s">
        <v>275</v>
      </c>
      <c r="B120" s="49" t="s">
        <v>276</v>
      </c>
      <c r="C120" s="36" t="s">
        <v>78</v>
      </c>
      <c r="D120" s="50">
        <v>12.6</v>
      </c>
      <c r="E120" s="50"/>
      <c r="F120" s="36">
        <v>0</v>
      </c>
      <c r="G120" s="50">
        <v>2015</v>
      </c>
      <c r="H120" s="50">
        <v>2016</v>
      </c>
      <c r="I120" s="51">
        <f>1+(4.47+0.25)*1.18</f>
        <v>6.569599999999999</v>
      </c>
      <c r="J120" s="52">
        <f t="shared" si="14"/>
        <v>5.569599999999999</v>
      </c>
      <c r="K120" s="53">
        <f t="shared" si="15"/>
        <v>5.569599999999999</v>
      </c>
      <c r="L120" s="50"/>
      <c r="M120" s="36"/>
      <c r="N120" s="36">
        <v>0</v>
      </c>
      <c r="O120" s="54"/>
      <c r="P120" s="643">
        <v>12.6</v>
      </c>
      <c r="Q120" s="54"/>
      <c r="R120" s="36">
        <f t="shared" si="10"/>
        <v>12.6</v>
      </c>
      <c r="S120" s="36"/>
      <c r="T120" s="51">
        <v>0</v>
      </c>
      <c r="U120" s="51">
        <f>1</f>
        <v>1</v>
      </c>
      <c r="V120" s="51">
        <f>(4.47+0.25)*1.18</f>
        <v>5.569599999999999</v>
      </c>
      <c r="W120" s="56">
        <f t="shared" si="3"/>
        <v>6.569599999999999</v>
      </c>
      <c r="X120" s="637"/>
      <c r="Y120" s="15"/>
      <c r="Z120" s="46"/>
    </row>
    <row r="121" spans="1:26" s="4" customFormat="1" ht="33.75" customHeight="1">
      <c r="A121" s="74" t="s">
        <v>277</v>
      </c>
      <c r="B121" s="49" t="s">
        <v>278</v>
      </c>
      <c r="C121" s="36" t="s">
        <v>78</v>
      </c>
      <c r="D121" s="50">
        <v>12.6</v>
      </c>
      <c r="E121" s="50"/>
      <c r="F121" s="36">
        <v>0</v>
      </c>
      <c r="G121" s="50">
        <v>2015</v>
      </c>
      <c r="H121" s="50">
        <v>2015</v>
      </c>
      <c r="I121" s="51">
        <v>2.25</v>
      </c>
      <c r="J121" s="52">
        <f t="shared" si="14"/>
        <v>0</v>
      </c>
      <c r="K121" s="53">
        <f t="shared" si="15"/>
        <v>0</v>
      </c>
      <c r="L121" s="50"/>
      <c r="M121" s="36"/>
      <c r="N121" s="36">
        <f>D121</f>
        <v>12.6</v>
      </c>
      <c r="O121" s="54"/>
      <c r="P121" s="54"/>
      <c r="Q121" s="54"/>
      <c r="R121" s="36">
        <f t="shared" si="10"/>
        <v>12.6</v>
      </c>
      <c r="S121" s="36"/>
      <c r="T121" s="51">
        <v>0</v>
      </c>
      <c r="U121" s="51">
        <f>I121</f>
        <v>2.25</v>
      </c>
      <c r="V121" s="55">
        <v>0</v>
      </c>
      <c r="W121" s="56">
        <f t="shared" si="3"/>
        <v>2.25</v>
      </c>
      <c r="X121" s="637"/>
      <c r="Y121" s="15"/>
      <c r="Z121" s="46"/>
    </row>
    <row r="122" spans="1:26" s="4" customFormat="1" ht="33.75" customHeight="1">
      <c r="A122" s="74" t="s">
        <v>279</v>
      </c>
      <c r="B122" s="60" t="s">
        <v>280</v>
      </c>
      <c r="C122" s="36" t="s">
        <v>78</v>
      </c>
      <c r="D122" s="50">
        <v>12.6</v>
      </c>
      <c r="E122" s="50"/>
      <c r="F122" s="36">
        <v>0</v>
      </c>
      <c r="G122" s="50">
        <v>2015</v>
      </c>
      <c r="H122" s="50">
        <v>2015</v>
      </c>
      <c r="I122" s="51">
        <v>0.77</v>
      </c>
      <c r="J122" s="52">
        <f t="shared" si="14"/>
        <v>0</v>
      </c>
      <c r="K122" s="53">
        <f t="shared" si="15"/>
        <v>0</v>
      </c>
      <c r="L122" s="50"/>
      <c r="M122" s="36"/>
      <c r="N122" s="36">
        <f>D122</f>
        <v>12.6</v>
      </c>
      <c r="O122" s="54"/>
      <c r="P122" s="54"/>
      <c r="Q122" s="54"/>
      <c r="R122" s="36">
        <f t="shared" si="10"/>
        <v>12.6</v>
      </c>
      <c r="S122" s="36"/>
      <c r="T122" s="51">
        <v>0</v>
      </c>
      <c r="U122" s="51">
        <f>I122</f>
        <v>0.77</v>
      </c>
      <c r="V122" s="55">
        <v>0</v>
      </c>
      <c r="W122" s="56">
        <f t="shared" si="3"/>
        <v>0.77</v>
      </c>
      <c r="X122" s="637"/>
      <c r="Y122" s="15"/>
      <c r="Z122" s="46"/>
    </row>
    <row r="123" spans="1:26" s="4" customFormat="1" ht="33.75" customHeight="1">
      <c r="A123" s="74" t="s">
        <v>281</v>
      </c>
      <c r="B123" s="49" t="s">
        <v>282</v>
      </c>
      <c r="C123" s="36" t="s">
        <v>78</v>
      </c>
      <c r="D123" s="50">
        <v>20</v>
      </c>
      <c r="E123" s="50"/>
      <c r="F123" s="36">
        <v>0</v>
      </c>
      <c r="G123" s="50">
        <v>2015</v>
      </c>
      <c r="H123" s="50">
        <v>2015</v>
      </c>
      <c r="I123" s="51">
        <f>0.99+7.89</f>
        <v>8.879999999999999</v>
      </c>
      <c r="J123" s="52">
        <f t="shared" si="14"/>
        <v>0</v>
      </c>
      <c r="K123" s="53">
        <f t="shared" si="15"/>
        <v>0</v>
      </c>
      <c r="L123" s="50"/>
      <c r="M123" s="36"/>
      <c r="N123" s="36">
        <v>20</v>
      </c>
      <c r="O123" s="54"/>
      <c r="P123" s="54">
        <v>0</v>
      </c>
      <c r="Q123" s="54"/>
      <c r="R123" s="36">
        <f t="shared" si="10"/>
        <v>20</v>
      </c>
      <c r="S123" s="36"/>
      <c r="T123" s="51">
        <v>0</v>
      </c>
      <c r="U123" s="51">
        <f>0.99+7.89</f>
        <v>8.879999999999999</v>
      </c>
      <c r="V123" s="51">
        <v>0</v>
      </c>
      <c r="W123" s="56">
        <f t="shared" si="3"/>
        <v>8.879999999999999</v>
      </c>
      <c r="X123" s="637"/>
      <c r="Y123" s="15"/>
      <c r="Z123" s="46"/>
    </row>
    <row r="124" spans="1:26" s="4" customFormat="1" ht="33.75" customHeight="1">
      <c r="A124" s="74" t="s">
        <v>283</v>
      </c>
      <c r="B124" s="68" t="s">
        <v>284</v>
      </c>
      <c r="C124" s="36" t="s">
        <v>78</v>
      </c>
      <c r="D124" s="50">
        <v>42.6</v>
      </c>
      <c r="E124" s="50"/>
      <c r="F124" s="36">
        <v>0</v>
      </c>
      <c r="G124" s="50">
        <v>2015</v>
      </c>
      <c r="H124" s="50">
        <v>2016</v>
      </c>
      <c r="I124" s="51">
        <f>2.76+(4.52+0.35)*1.18</f>
        <v>8.506599999999999</v>
      </c>
      <c r="J124" s="52">
        <f t="shared" si="14"/>
        <v>5.746599999999999</v>
      </c>
      <c r="K124" s="53">
        <f t="shared" si="15"/>
        <v>5.746599999999999</v>
      </c>
      <c r="L124" s="50"/>
      <c r="M124" s="36"/>
      <c r="N124" s="36">
        <f aca="true" t="shared" si="18" ref="N124:N129">D124</f>
        <v>42.6</v>
      </c>
      <c r="O124" s="54"/>
      <c r="P124" s="54"/>
      <c r="Q124" s="54"/>
      <c r="R124" s="36">
        <f t="shared" si="10"/>
        <v>42.6</v>
      </c>
      <c r="S124" s="36"/>
      <c r="T124" s="51">
        <v>0</v>
      </c>
      <c r="U124" s="51">
        <f>2.76</f>
        <v>2.76</v>
      </c>
      <c r="V124" s="51">
        <f>(4.52+0.35)*1.18</f>
        <v>5.746599999999999</v>
      </c>
      <c r="W124" s="56">
        <f t="shared" si="3"/>
        <v>8.506599999999999</v>
      </c>
      <c r="X124" s="637"/>
      <c r="Y124" s="15"/>
      <c r="Z124" s="46"/>
    </row>
    <row r="125" spans="1:26" s="4" customFormat="1" ht="15.75">
      <c r="A125" s="74" t="s">
        <v>285</v>
      </c>
      <c r="B125" s="62" t="s">
        <v>286</v>
      </c>
      <c r="C125" s="36" t="s">
        <v>78</v>
      </c>
      <c r="D125" s="36">
        <v>10</v>
      </c>
      <c r="E125" s="36"/>
      <c r="F125" s="36">
        <v>0</v>
      </c>
      <c r="G125" s="50">
        <v>2015</v>
      </c>
      <c r="H125" s="50">
        <v>2015</v>
      </c>
      <c r="I125" s="51">
        <v>7.68</v>
      </c>
      <c r="J125" s="52">
        <f t="shared" si="14"/>
        <v>0</v>
      </c>
      <c r="K125" s="53">
        <f t="shared" si="15"/>
        <v>0</v>
      </c>
      <c r="L125" s="64"/>
      <c r="M125" s="64"/>
      <c r="N125" s="36">
        <f t="shared" si="18"/>
        <v>10</v>
      </c>
      <c r="O125" s="36"/>
      <c r="P125" s="36"/>
      <c r="Q125" s="36"/>
      <c r="R125" s="36">
        <f t="shared" si="10"/>
        <v>10</v>
      </c>
      <c r="S125" s="36">
        <f>M125+O125+Q125</f>
        <v>0</v>
      </c>
      <c r="T125" s="55">
        <v>0</v>
      </c>
      <c r="U125" s="51">
        <f>I125</f>
        <v>7.68</v>
      </c>
      <c r="V125" s="55">
        <v>0</v>
      </c>
      <c r="W125" s="56">
        <f t="shared" si="3"/>
        <v>7.68</v>
      </c>
      <c r="X125" s="637"/>
      <c r="Y125" s="15"/>
      <c r="Z125" s="46"/>
    </row>
    <row r="126" spans="1:26" s="4" customFormat="1" ht="33.75" customHeight="1">
      <c r="A126" s="74" t="s">
        <v>287</v>
      </c>
      <c r="B126" s="61" t="s">
        <v>288</v>
      </c>
      <c r="C126" s="36" t="s">
        <v>78</v>
      </c>
      <c r="D126" s="50">
        <v>0</v>
      </c>
      <c r="E126" s="50"/>
      <c r="F126" s="36">
        <v>0</v>
      </c>
      <c r="G126" s="50">
        <v>2015</v>
      </c>
      <c r="H126" s="50">
        <v>2015</v>
      </c>
      <c r="I126" s="51">
        <f>2.33</f>
        <v>2.33</v>
      </c>
      <c r="J126" s="52">
        <f t="shared" si="14"/>
        <v>0</v>
      </c>
      <c r="K126" s="53">
        <f t="shared" si="15"/>
        <v>0</v>
      </c>
      <c r="L126" s="50"/>
      <c r="M126" s="36"/>
      <c r="N126" s="36">
        <f t="shared" si="18"/>
        <v>0</v>
      </c>
      <c r="O126" s="54"/>
      <c r="P126" s="54"/>
      <c r="Q126" s="54"/>
      <c r="R126" s="36">
        <f>L126</f>
        <v>0</v>
      </c>
      <c r="S126" s="36"/>
      <c r="T126" s="51">
        <v>0</v>
      </c>
      <c r="U126" s="51">
        <f>2.33</f>
        <v>2.33</v>
      </c>
      <c r="V126" s="51">
        <v>0</v>
      </c>
      <c r="W126" s="56">
        <f t="shared" si="3"/>
        <v>2.33</v>
      </c>
      <c r="X126" s="637"/>
      <c r="Y126" s="15"/>
      <c r="Z126" s="46"/>
    </row>
    <row r="127" spans="1:26" s="4" customFormat="1" ht="33.75" customHeight="1">
      <c r="A127" s="74" t="s">
        <v>289</v>
      </c>
      <c r="B127" s="49" t="s">
        <v>290</v>
      </c>
      <c r="C127" s="36" t="s">
        <v>78</v>
      </c>
      <c r="D127" s="50">
        <v>0</v>
      </c>
      <c r="E127" s="50"/>
      <c r="F127" s="36">
        <v>0</v>
      </c>
      <c r="G127" s="50">
        <v>2015</v>
      </c>
      <c r="H127" s="50">
        <v>2014</v>
      </c>
      <c r="I127" s="51">
        <v>0.76</v>
      </c>
      <c r="J127" s="52">
        <f t="shared" si="14"/>
        <v>0</v>
      </c>
      <c r="K127" s="53">
        <f t="shared" si="15"/>
        <v>0</v>
      </c>
      <c r="L127" s="50"/>
      <c r="M127" s="36"/>
      <c r="N127" s="36">
        <f t="shared" si="18"/>
        <v>0</v>
      </c>
      <c r="O127" s="54"/>
      <c r="P127" s="54"/>
      <c r="Q127" s="54"/>
      <c r="R127" s="36">
        <f>L127</f>
        <v>0</v>
      </c>
      <c r="S127" s="36"/>
      <c r="T127" s="51">
        <v>0</v>
      </c>
      <c r="U127" s="51">
        <f>I127</f>
        <v>0.76</v>
      </c>
      <c r="V127" s="55">
        <v>0</v>
      </c>
      <c r="W127" s="56">
        <f t="shared" si="3"/>
        <v>0.76</v>
      </c>
      <c r="X127" s="637"/>
      <c r="Y127" s="15"/>
      <c r="Z127" s="46"/>
    </row>
    <row r="128" spans="1:26" s="4" customFormat="1" ht="33.75" customHeight="1">
      <c r="A128" s="74" t="s">
        <v>291</v>
      </c>
      <c r="B128" s="49" t="s">
        <v>292</v>
      </c>
      <c r="C128" s="36" t="s">
        <v>78</v>
      </c>
      <c r="D128" s="50">
        <v>0</v>
      </c>
      <c r="E128" s="50"/>
      <c r="F128" s="36">
        <v>0</v>
      </c>
      <c r="G128" s="50">
        <v>2015</v>
      </c>
      <c r="H128" s="50">
        <v>2015</v>
      </c>
      <c r="I128" s="51">
        <v>4.78</v>
      </c>
      <c r="J128" s="52">
        <f t="shared" si="14"/>
        <v>0</v>
      </c>
      <c r="K128" s="53">
        <f t="shared" si="15"/>
        <v>0</v>
      </c>
      <c r="L128" s="50"/>
      <c r="M128" s="36"/>
      <c r="N128" s="36">
        <f t="shared" si="18"/>
        <v>0</v>
      </c>
      <c r="O128" s="54"/>
      <c r="P128" s="54"/>
      <c r="Q128" s="54"/>
      <c r="R128" s="36">
        <f>L128</f>
        <v>0</v>
      </c>
      <c r="S128" s="36"/>
      <c r="T128" s="51">
        <v>0</v>
      </c>
      <c r="U128" s="51">
        <v>4.78</v>
      </c>
      <c r="V128" s="55">
        <v>0</v>
      </c>
      <c r="W128" s="56">
        <f t="shared" si="3"/>
        <v>4.78</v>
      </c>
      <c r="X128" s="637"/>
      <c r="Y128" s="15"/>
      <c r="Z128" s="46"/>
    </row>
    <row r="129" spans="1:26" s="4" customFormat="1" ht="33.75" customHeight="1">
      <c r="A129" s="74" t="s">
        <v>293</v>
      </c>
      <c r="B129" s="49" t="s">
        <v>294</v>
      </c>
      <c r="C129" s="36" t="s">
        <v>78</v>
      </c>
      <c r="D129" s="50">
        <v>0</v>
      </c>
      <c r="E129" s="50"/>
      <c r="F129" s="36">
        <v>0</v>
      </c>
      <c r="G129" s="50">
        <v>2016</v>
      </c>
      <c r="H129" s="50">
        <v>2016</v>
      </c>
      <c r="I129" s="51">
        <f>1.03+11.59</f>
        <v>12.62</v>
      </c>
      <c r="J129" s="52">
        <f t="shared" si="14"/>
        <v>12.62</v>
      </c>
      <c r="K129" s="53">
        <f t="shared" si="15"/>
        <v>12.62</v>
      </c>
      <c r="L129" s="50"/>
      <c r="M129" s="36"/>
      <c r="N129" s="36">
        <f t="shared" si="18"/>
        <v>0</v>
      </c>
      <c r="O129" s="54"/>
      <c r="P129" s="54"/>
      <c r="Q129" s="54"/>
      <c r="R129" s="36">
        <f>L129</f>
        <v>0</v>
      </c>
      <c r="S129" s="36"/>
      <c r="T129" s="51">
        <v>0</v>
      </c>
      <c r="U129" s="51">
        <v>0</v>
      </c>
      <c r="V129" s="55">
        <f>1.03+11.59</f>
        <v>12.62</v>
      </c>
      <c r="W129" s="56">
        <f t="shared" si="3"/>
        <v>12.62</v>
      </c>
      <c r="X129" s="637"/>
      <c r="Y129" s="15"/>
      <c r="Z129" s="46"/>
    </row>
    <row r="130" spans="1:26" s="4" customFormat="1" ht="32.25" customHeight="1">
      <c r="A130" s="74" t="s">
        <v>295</v>
      </c>
      <c r="B130" s="62" t="s">
        <v>296</v>
      </c>
      <c r="C130" s="36" t="s">
        <v>78</v>
      </c>
      <c r="D130" s="36"/>
      <c r="E130" s="65">
        <v>0.135</v>
      </c>
      <c r="F130" s="65">
        <v>1.1</v>
      </c>
      <c r="G130" s="50">
        <v>2016</v>
      </c>
      <c r="H130" s="50">
        <v>2016</v>
      </c>
      <c r="I130" s="51">
        <f>(0.66+0.047)*1.18</f>
        <v>0.83426</v>
      </c>
      <c r="J130" s="52">
        <f t="shared" si="14"/>
        <v>0.83426</v>
      </c>
      <c r="K130" s="53">
        <f t="shared" si="15"/>
        <v>0.83426</v>
      </c>
      <c r="L130" s="64"/>
      <c r="M130" s="64"/>
      <c r="N130" s="54"/>
      <c r="O130" s="54"/>
      <c r="P130" s="36"/>
      <c r="Q130" s="65">
        <f>E130</f>
        <v>0.135</v>
      </c>
      <c r="R130" s="36"/>
      <c r="S130" s="36">
        <f aca="true" t="shared" si="19" ref="S130:S138">M130+O130+Q130</f>
        <v>0.135</v>
      </c>
      <c r="T130" s="55">
        <v>0</v>
      </c>
      <c r="U130" s="55">
        <v>0</v>
      </c>
      <c r="V130" s="55">
        <f aca="true" t="shared" si="20" ref="V130:V138">I130</f>
        <v>0.83426</v>
      </c>
      <c r="W130" s="56">
        <f t="shared" si="3"/>
        <v>0.83426</v>
      </c>
      <c r="X130" s="637"/>
      <c r="Y130" s="15"/>
      <c r="Z130" s="46"/>
    </row>
    <row r="131" spans="1:26" s="4" customFormat="1" ht="32.25" customHeight="1">
      <c r="A131" s="74" t="s">
        <v>297</v>
      </c>
      <c r="B131" s="62" t="s">
        <v>298</v>
      </c>
      <c r="C131" s="36" t="s">
        <v>78</v>
      </c>
      <c r="D131" s="36"/>
      <c r="E131" s="65">
        <v>0.145</v>
      </c>
      <c r="F131" s="65">
        <v>1.1</v>
      </c>
      <c r="G131" s="50">
        <v>2016</v>
      </c>
      <c r="H131" s="50">
        <v>2016</v>
      </c>
      <c r="I131" s="51">
        <f>(0.56+0.03)*1.18</f>
        <v>0.6962</v>
      </c>
      <c r="J131" s="52">
        <f t="shared" si="14"/>
        <v>0.6962</v>
      </c>
      <c r="K131" s="53">
        <f t="shared" si="15"/>
        <v>0.6962</v>
      </c>
      <c r="L131" s="64"/>
      <c r="M131" s="64"/>
      <c r="N131" s="54"/>
      <c r="O131" s="54"/>
      <c r="P131" s="36"/>
      <c r="Q131" s="65">
        <f>E131</f>
        <v>0.145</v>
      </c>
      <c r="R131" s="36"/>
      <c r="S131" s="36">
        <f t="shared" si="19"/>
        <v>0.145</v>
      </c>
      <c r="T131" s="55">
        <v>0</v>
      </c>
      <c r="U131" s="55">
        <v>0</v>
      </c>
      <c r="V131" s="55">
        <f t="shared" si="20"/>
        <v>0.6962</v>
      </c>
      <c r="W131" s="56">
        <f t="shared" si="3"/>
        <v>0.6962</v>
      </c>
      <c r="X131" s="637"/>
      <c r="Y131" s="15"/>
      <c r="Z131" s="46"/>
    </row>
    <row r="132" spans="1:26" s="4" customFormat="1" ht="32.25" customHeight="1">
      <c r="A132" s="74" t="s">
        <v>299</v>
      </c>
      <c r="B132" s="62" t="s">
        <v>300</v>
      </c>
      <c r="C132" s="36" t="s">
        <v>78</v>
      </c>
      <c r="D132" s="36"/>
      <c r="E132" s="36">
        <v>0.2</v>
      </c>
      <c r="F132" s="59">
        <v>0.09</v>
      </c>
      <c r="G132" s="50">
        <v>2016</v>
      </c>
      <c r="H132" s="50">
        <v>2016</v>
      </c>
      <c r="I132" s="51">
        <f>(0.4+0.02)*1.18</f>
        <v>0.49560000000000004</v>
      </c>
      <c r="J132" s="52">
        <f t="shared" si="14"/>
        <v>0.49560000000000004</v>
      </c>
      <c r="K132" s="53">
        <f t="shared" si="15"/>
        <v>0.49560000000000004</v>
      </c>
      <c r="L132" s="64"/>
      <c r="M132" s="64"/>
      <c r="N132" s="54"/>
      <c r="O132" s="54"/>
      <c r="P132" s="36"/>
      <c r="Q132" s="36">
        <f>E132</f>
        <v>0.2</v>
      </c>
      <c r="R132" s="36">
        <f aca="true" t="shared" si="21" ref="R132:R138">L132+N132+P132</f>
        <v>0</v>
      </c>
      <c r="S132" s="36">
        <f t="shared" si="19"/>
        <v>0.2</v>
      </c>
      <c r="T132" s="55">
        <v>0</v>
      </c>
      <c r="U132" s="55">
        <v>0</v>
      </c>
      <c r="V132" s="55">
        <f t="shared" si="20"/>
        <v>0.49560000000000004</v>
      </c>
      <c r="W132" s="56">
        <f t="shared" si="3"/>
        <v>0.49560000000000004</v>
      </c>
      <c r="X132" s="637"/>
      <c r="Y132" s="15"/>
      <c r="Z132" s="46"/>
    </row>
    <row r="133" spans="1:26" s="4" customFormat="1" ht="15.75">
      <c r="A133" s="74" t="s">
        <v>301</v>
      </c>
      <c r="B133" s="62" t="s">
        <v>302</v>
      </c>
      <c r="C133" s="36" t="s">
        <v>78</v>
      </c>
      <c r="D133" s="36">
        <v>2</v>
      </c>
      <c r="E133" s="36"/>
      <c r="F133" s="36">
        <v>0</v>
      </c>
      <c r="G133" s="50">
        <v>2016</v>
      </c>
      <c r="H133" s="50">
        <v>2016</v>
      </c>
      <c r="I133" s="51">
        <f>(0.4+0.02)*1.18</f>
        <v>0.49560000000000004</v>
      </c>
      <c r="J133" s="52">
        <f t="shared" si="14"/>
        <v>0.49560000000000004</v>
      </c>
      <c r="K133" s="53">
        <f t="shared" si="15"/>
        <v>0.49560000000000004</v>
      </c>
      <c r="L133" s="64"/>
      <c r="M133" s="64"/>
      <c r="N133" s="54"/>
      <c r="O133" s="54"/>
      <c r="P133" s="36">
        <f aca="true" t="shared" si="22" ref="P133:P138">D133</f>
        <v>2</v>
      </c>
      <c r="Q133" s="36"/>
      <c r="R133" s="36">
        <f t="shared" si="21"/>
        <v>2</v>
      </c>
      <c r="S133" s="36">
        <f t="shared" si="19"/>
        <v>0</v>
      </c>
      <c r="T133" s="55">
        <v>0</v>
      </c>
      <c r="U133" s="55">
        <v>0</v>
      </c>
      <c r="V133" s="55">
        <f t="shared" si="20"/>
        <v>0.49560000000000004</v>
      </c>
      <c r="W133" s="56">
        <f t="shared" si="3"/>
        <v>0.49560000000000004</v>
      </c>
      <c r="X133" s="637"/>
      <c r="Y133" s="15"/>
      <c r="Z133" s="46"/>
    </row>
    <row r="134" spans="1:26" s="4" customFormat="1" ht="15.75">
      <c r="A134" s="74" t="s">
        <v>303</v>
      </c>
      <c r="B134" s="62" t="s">
        <v>304</v>
      </c>
      <c r="C134" s="36" t="s">
        <v>78</v>
      </c>
      <c r="D134" s="36">
        <v>0.25</v>
      </c>
      <c r="E134" s="36"/>
      <c r="F134" s="36">
        <v>1.6</v>
      </c>
      <c r="G134" s="50">
        <v>2016</v>
      </c>
      <c r="H134" s="50">
        <v>2016</v>
      </c>
      <c r="I134" s="51">
        <f>(0.51+0.03)*1.18</f>
        <v>0.6372</v>
      </c>
      <c r="J134" s="52">
        <f t="shared" si="14"/>
        <v>0.6372</v>
      </c>
      <c r="K134" s="53">
        <f t="shared" si="15"/>
        <v>0.6372</v>
      </c>
      <c r="L134" s="64"/>
      <c r="M134" s="64"/>
      <c r="N134" s="54"/>
      <c r="O134" s="54"/>
      <c r="P134" s="36">
        <f t="shared" si="22"/>
        <v>0.25</v>
      </c>
      <c r="Q134" s="36"/>
      <c r="R134" s="36">
        <f t="shared" si="21"/>
        <v>0.25</v>
      </c>
      <c r="S134" s="36">
        <f t="shared" si="19"/>
        <v>0</v>
      </c>
      <c r="T134" s="55">
        <v>0</v>
      </c>
      <c r="U134" s="55">
        <v>0</v>
      </c>
      <c r="V134" s="55">
        <f t="shared" si="20"/>
        <v>0.6372</v>
      </c>
      <c r="W134" s="56">
        <f t="shared" si="3"/>
        <v>0.6372</v>
      </c>
      <c r="X134" s="637"/>
      <c r="Y134" s="15"/>
      <c r="Z134" s="46"/>
    </row>
    <row r="135" spans="1:26" s="4" customFormat="1" ht="15.75">
      <c r="A135" s="74" t="s">
        <v>305</v>
      </c>
      <c r="B135" s="62" t="s">
        <v>306</v>
      </c>
      <c r="C135" s="36" t="s">
        <v>78</v>
      </c>
      <c r="D135" s="36">
        <v>0.4</v>
      </c>
      <c r="E135" s="36"/>
      <c r="F135" s="36">
        <v>1.68</v>
      </c>
      <c r="G135" s="50">
        <v>2016</v>
      </c>
      <c r="H135" s="50">
        <v>2016</v>
      </c>
      <c r="I135" s="51">
        <f>(0.61+0.03)*1.18</f>
        <v>0.7552</v>
      </c>
      <c r="J135" s="52">
        <f t="shared" si="14"/>
        <v>0.7552</v>
      </c>
      <c r="K135" s="53">
        <f t="shared" si="15"/>
        <v>0.7552</v>
      </c>
      <c r="L135" s="64"/>
      <c r="M135" s="64"/>
      <c r="N135" s="54"/>
      <c r="O135" s="54"/>
      <c r="P135" s="36">
        <f t="shared" si="22"/>
        <v>0.4</v>
      </c>
      <c r="Q135" s="36"/>
      <c r="R135" s="36">
        <f t="shared" si="21"/>
        <v>0.4</v>
      </c>
      <c r="S135" s="36">
        <f t="shared" si="19"/>
        <v>0</v>
      </c>
      <c r="T135" s="55">
        <v>0</v>
      </c>
      <c r="U135" s="55">
        <v>0</v>
      </c>
      <c r="V135" s="55">
        <f t="shared" si="20"/>
        <v>0.7552</v>
      </c>
      <c r="W135" s="56">
        <f t="shared" si="3"/>
        <v>0.7552</v>
      </c>
      <c r="X135" s="637"/>
      <c r="Y135" s="15"/>
      <c r="Z135" s="46"/>
    </row>
    <row r="136" spans="1:26" s="4" customFormat="1" ht="15.75">
      <c r="A136" s="74" t="s">
        <v>307</v>
      </c>
      <c r="B136" s="62" t="s">
        <v>308</v>
      </c>
      <c r="C136" s="36" t="s">
        <v>78</v>
      </c>
      <c r="D136" s="50">
        <v>0.25</v>
      </c>
      <c r="E136" s="36"/>
      <c r="F136" s="36">
        <v>1.52</v>
      </c>
      <c r="G136" s="50">
        <v>2016</v>
      </c>
      <c r="H136" s="50">
        <v>2016</v>
      </c>
      <c r="I136" s="51">
        <f>(0.51+0.03)*1.18</f>
        <v>0.6372</v>
      </c>
      <c r="J136" s="52">
        <f t="shared" si="14"/>
        <v>0.6372</v>
      </c>
      <c r="K136" s="53">
        <f t="shared" si="15"/>
        <v>0.6372</v>
      </c>
      <c r="L136" s="64"/>
      <c r="M136" s="64"/>
      <c r="N136" s="54"/>
      <c r="O136" s="54"/>
      <c r="P136" s="36">
        <f t="shared" si="22"/>
        <v>0.25</v>
      </c>
      <c r="Q136" s="36"/>
      <c r="R136" s="36">
        <f t="shared" si="21"/>
        <v>0.25</v>
      </c>
      <c r="S136" s="36">
        <f t="shared" si="19"/>
        <v>0</v>
      </c>
      <c r="T136" s="55">
        <v>0</v>
      </c>
      <c r="U136" s="55">
        <v>0</v>
      </c>
      <c r="V136" s="55">
        <f t="shared" si="20"/>
        <v>0.6372</v>
      </c>
      <c r="W136" s="56">
        <f t="shared" si="3"/>
        <v>0.6372</v>
      </c>
      <c r="X136" s="637"/>
      <c r="Y136" s="15"/>
      <c r="Z136" s="46"/>
    </row>
    <row r="137" spans="1:26" s="4" customFormat="1" ht="15.75">
      <c r="A137" s="74" t="s">
        <v>309</v>
      </c>
      <c r="B137" s="62" t="s">
        <v>310</v>
      </c>
      <c r="C137" s="36" t="s">
        <v>78</v>
      </c>
      <c r="D137" s="36">
        <v>0.25</v>
      </c>
      <c r="E137" s="36"/>
      <c r="F137" s="36">
        <v>0.87</v>
      </c>
      <c r="G137" s="50">
        <v>2016</v>
      </c>
      <c r="H137" s="50">
        <v>2016</v>
      </c>
      <c r="I137" s="51">
        <f>(0.51+0.03)*1.18</f>
        <v>0.6372</v>
      </c>
      <c r="J137" s="52">
        <f t="shared" si="14"/>
        <v>0.6372</v>
      </c>
      <c r="K137" s="53">
        <f t="shared" si="15"/>
        <v>0.6372</v>
      </c>
      <c r="L137" s="64"/>
      <c r="M137" s="64"/>
      <c r="N137" s="54"/>
      <c r="O137" s="54"/>
      <c r="P137" s="36">
        <f t="shared" si="22"/>
        <v>0.25</v>
      </c>
      <c r="Q137" s="36"/>
      <c r="R137" s="36">
        <f t="shared" si="21"/>
        <v>0.25</v>
      </c>
      <c r="S137" s="36">
        <f t="shared" si="19"/>
        <v>0</v>
      </c>
      <c r="T137" s="55">
        <v>0</v>
      </c>
      <c r="U137" s="55">
        <v>0</v>
      </c>
      <c r="V137" s="55">
        <f t="shared" si="20"/>
        <v>0.6372</v>
      </c>
      <c r="W137" s="56">
        <f t="shared" si="3"/>
        <v>0.6372</v>
      </c>
      <c r="X137" s="637"/>
      <c r="Y137" s="15"/>
      <c r="Z137" s="46"/>
    </row>
    <row r="138" spans="1:26" s="4" customFormat="1" ht="15.75">
      <c r="A138" s="74" t="s">
        <v>311</v>
      </c>
      <c r="B138" s="58" t="s">
        <v>312</v>
      </c>
      <c r="C138" s="36" t="s">
        <v>78</v>
      </c>
      <c r="D138" s="36">
        <v>20</v>
      </c>
      <c r="E138" s="36"/>
      <c r="F138" s="36">
        <v>0</v>
      </c>
      <c r="G138" s="50">
        <v>2016</v>
      </c>
      <c r="H138" s="50">
        <v>2016</v>
      </c>
      <c r="I138" s="51">
        <f>(4.5+0.26)*1.18</f>
        <v>5.6168</v>
      </c>
      <c r="J138" s="52">
        <f t="shared" si="14"/>
        <v>5.6168</v>
      </c>
      <c r="K138" s="53">
        <f t="shared" si="15"/>
        <v>5.6168</v>
      </c>
      <c r="L138" s="64"/>
      <c r="M138" s="64"/>
      <c r="N138" s="54"/>
      <c r="O138" s="54"/>
      <c r="P138" s="36">
        <f t="shared" si="22"/>
        <v>20</v>
      </c>
      <c r="Q138" s="36"/>
      <c r="R138" s="36">
        <f t="shared" si="21"/>
        <v>20</v>
      </c>
      <c r="S138" s="36">
        <f t="shared" si="19"/>
        <v>0</v>
      </c>
      <c r="T138" s="55">
        <v>0</v>
      </c>
      <c r="U138" s="55">
        <v>0</v>
      </c>
      <c r="V138" s="55">
        <f t="shared" si="20"/>
        <v>5.6168</v>
      </c>
      <c r="W138" s="56">
        <f t="shared" si="3"/>
        <v>5.6168</v>
      </c>
      <c r="X138" s="637"/>
      <c r="Y138" s="15"/>
      <c r="Z138" s="46"/>
    </row>
    <row r="139" spans="1:26" ht="49.5" customHeight="1">
      <c r="A139" s="77" t="s">
        <v>313</v>
      </c>
      <c r="B139" s="78" t="s">
        <v>314</v>
      </c>
      <c r="C139" s="79"/>
      <c r="D139" s="79"/>
      <c r="E139" s="79"/>
      <c r="F139" s="79"/>
      <c r="G139" s="79"/>
      <c r="H139" s="79"/>
      <c r="I139" s="80"/>
      <c r="J139" s="81"/>
      <c r="K139" s="82"/>
      <c r="L139" s="83"/>
      <c r="M139" s="83"/>
      <c r="N139" s="84"/>
      <c r="O139" s="84"/>
      <c r="P139" s="84"/>
      <c r="Q139" s="84"/>
      <c r="R139" s="79"/>
      <c r="S139" s="79"/>
      <c r="T139" s="85"/>
      <c r="U139" s="85"/>
      <c r="V139" s="83"/>
      <c r="W139" s="86"/>
      <c r="X139" s="637"/>
      <c r="Y139" s="15"/>
      <c r="Z139" s="46"/>
    </row>
    <row r="140" spans="1:26" ht="15.75">
      <c r="A140" s="87"/>
      <c r="B140" s="88"/>
      <c r="C140" s="89"/>
      <c r="D140" s="89"/>
      <c r="E140" s="89"/>
      <c r="F140" s="89"/>
      <c r="G140" s="89"/>
      <c r="H140" s="89"/>
      <c r="I140" s="90"/>
      <c r="J140" s="91"/>
      <c r="K140" s="92"/>
      <c r="L140" s="93"/>
      <c r="M140" s="93"/>
      <c r="N140" s="94"/>
      <c r="O140" s="94"/>
      <c r="P140" s="94"/>
      <c r="Q140" s="94"/>
      <c r="R140" s="89"/>
      <c r="S140" s="89"/>
      <c r="T140" s="95"/>
      <c r="U140" s="95"/>
      <c r="V140" s="93"/>
      <c r="W140" s="96"/>
      <c r="X140" s="637"/>
      <c r="Y140" s="15"/>
      <c r="Z140" s="46"/>
    </row>
    <row r="141" spans="1:26" ht="15.75">
      <c r="A141" s="77" t="s">
        <v>315</v>
      </c>
      <c r="B141" s="78" t="s">
        <v>316</v>
      </c>
      <c r="C141" s="79"/>
      <c r="D141" s="79"/>
      <c r="E141" s="79"/>
      <c r="F141" s="79"/>
      <c r="G141" s="79"/>
      <c r="H141" s="79"/>
      <c r="I141" s="80"/>
      <c r="J141" s="81"/>
      <c r="K141" s="82"/>
      <c r="L141" s="83"/>
      <c r="M141" s="83"/>
      <c r="N141" s="84"/>
      <c r="O141" s="84"/>
      <c r="P141" s="84"/>
      <c r="Q141" s="84"/>
      <c r="R141" s="79"/>
      <c r="S141" s="79"/>
      <c r="T141" s="85"/>
      <c r="U141" s="85"/>
      <c r="V141" s="83"/>
      <c r="W141" s="86"/>
      <c r="X141" s="637"/>
      <c r="Y141" s="15"/>
      <c r="Z141" s="46"/>
    </row>
    <row r="142" spans="1:26" ht="15.75">
      <c r="A142" s="87"/>
      <c r="B142" s="88"/>
      <c r="C142" s="89"/>
      <c r="D142" s="89"/>
      <c r="E142" s="89"/>
      <c r="F142" s="89"/>
      <c r="G142" s="89"/>
      <c r="H142" s="89"/>
      <c r="I142" s="90"/>
      <c r="J142" s="91"/>
      <c r="K142" s="92"/>
      <c r="L142" s="93"/>
      <c r="M142" s="93"/>
      <c r="N142" s="94"/>
      <c r="O142" s="94"/>
      <c r="P142" s="94"/>
      <c r="Q142" s="94"/>
      <c r="R142" s="89"/>
      <c r="S142" s="89"/>
      <c r="T142" s="95"/>
      <c r="U142" s="95"/>
      <c r="V142" s="93"/>
      <c r="W142" s="96"/>
      <c r="X142" s="637"/>
      <c r="Y142" s="15"/>
      <c r="Z142" s="46"/>
    </row>
    <row r="143" spans="1:26" ht="71.25" customHeight="1">
      <c r="A143" s="77" t="s">
        <v>317</v>
      </c>
      <c r="B143" s="78" t="s">
        <v>318</v>
      </c>
      <c r="C143" s="79"/>
      <c r="D143" s="79"/>
      <c r="E143" s="79"/>
      <c r="F143" s="79"/>
      <c r="G143" s="79"/>
      <c r="H143" s="79"/>
      <c r="I143" s="80"/>
      <c r="J143" s="81"/>
      <c r="K143" s="82"/>
      <c r="L143" s="83"/>
      <c r="M143" s="83"/>
      <c r="N143" s="84"/>
      <c r="O143" s="84"/>
      <c r="P143" s="84"/>
      <c r="Q143" s="84"/>
      <c r="R143" s="79"/>
      <c r="S143" s="79"/>
      <c r="T143" s="85"/>
      <c r="U143" s="85"/>
      <c r="V143" s="83"/>
      <c r="W143" s="86"/>
      <c r="X143" s="637"/>
      <c r="Y143" s="15"/>
      <c r="Z143" s="46"/>
    </row>
    <row r="144" spans="1:26" ht="15.75">
      <c r="A144" s="87"/>
      <c r="B144" s="88"/>
      <c r="C144" s="89"/>
      <c r="D144" s="89"/>
      <c r="E144" s="89"/>
      <c r="F144" s="89"/>
      <c r="G144" s="89"/>
      <c r="H144" s="89"/>
      <c r="I144" s="90"/>
      <c r="J144" s="91"/>
      <c r="K144" s="92"/>
      <c r="L144" s="93"/>
      <c r="M144" s="93"/>
      <c r="N144" s="94"/>
      <c r="O144" s="94"/>
      <c r="P144" s="94"/>
      <c r="Q144" s="94"/>
      <c r="R144" s="89"/>
      <c r="S144" s="89"/>
      <c r="T144" s="95"/>
      <c r="U144" s="95"/>
      <c r="V144" s="93"/>
      <c r="W144" s="96"/>
      <c r="X144" s="637"/>
      <c r="Y144" s="15"/>
      <c r="Z144" s="46"/>
    </row>
    <row r="145" spans="1:26" s="100" customFormat="1" ht="15.75">
      <c r="A145" s="97" t="s">
        <v>319</v>
      </c>
      <c r="B145" s="98" t="s">
        <v>320</v>
      </c>
      <c r="C145" s="98"/>
      <c r="D145" s="28">
        <f>D146+D148</f>
        <v>2</v>
      </c>
      <c r="E145" s="28">
        <f>E146+E148</f>
        <v>13.62</v>
      </c>
      <c r="F145" s="28">
        <f>F146+F148</f>
        <v>0</v>
      </c>
      <c r="G145" s="98"/>
      <c r="H145" s="98"/>
      <c r="I145" s="28">
        <f aca="true" t="shared" si="23" ref="I145:V145">I146+I148</f>
        <v>27.453999999999997</v>
      </c>
      <c r="J145" s="28">
        <f t="shared" si="23"/>
        <v>1.66</v>
      </c>
      <c r="K145" s="28">
        <f t="shared" si="23"/>
        <v>1.66</v>
      </c>
      <c r="L145" s="28">
        <f t="shared" si="23"/>
        <v>0</v>
      </c>
      <c r="M145" s="28">
        <f t="shared" si="23"/>
        <v>3.0599999999999996</v>
      </c>
      <c r="N145" s="28">
        <f t="shared" si="23"/>
        <v>2</v>
      </c>
      <c r="O145" s="28">
        <f t="shared" si="23"/>
        <v>9.780000000000001</v>
      </c>
      <c r="P145" s="28">
        <f t="shared" si="23"/>
        <v>0</v>
      </c>
      <c r="Q145" s="28">
        <f t="shared" si="23"/>
        <v>0.78</v>
      </c>
      <c r="R145" s="28">
        <f t="shared" si="23"/>
        <v>2</v>
      </c>
      <c r="S145" s="28">
        <f t="shared" si="23"/>
        <v>13.62</v>
      </c>
      <c r="T145" s="28">
        <f t="shared" si="23"/>
        <v>6.38</v>
      </c>
      <c r="U145" s="28">
        <f t="shared" si="23"/>
        <v>19.413999999999998</v>
      </c>
      <c r="V145" s="28">
        <f t="shared" si="23"/>
        <v>1.66</v>
      </c>
      <c r="W145" s="99">
        <f>SUM(T145:V145)</f>
        <v>27.453999999999997</v>
      </c>
      <c r="X145" s="637"/>
      <c r="Y145" s="15"/>
      <c r="Z145" s="46"/>
    </row>
    <row r="146" spans="1:26" s="100" customFormat="1" ht="31.5">
      <c r="A146" s="101" t="s">
        <v>321</v>
      </c>
      <c r="B146" s="102" t="s">
        <v>75</v>
      </c>
      <c r="C146" s="102"/>
      <c r="D146" s="102">
        <v>0</v>
      </c>
      <c r="E146" s="103">
        <f>SUM(E147:E147)</f>
        <v>0.61</v>
      </c>
      <c r="F146" s="103">
        <f>SUM(F147:F147)</f>
        <v>0</v>
      </c>
      <c r="G146" s="102"/>
      <c r="H146" s="102"/>
      <c r="I146" s="103">
        <f>SUM(I147:I147)</f>
        <v>1.7</v>
      </c>
      <c r="J146" s="103">
        <f>SUM(J147:J147)</f>
        <v>0</v>
      </c>
      <c r="K146" s="103">
        <f>SUM(K147:K147)</f>
        <v>0</v>
      </c>
      <c r="L146" s="102">
        <v>0</v>
      </c>
      <c r="M146" s="103">
        <f>SUM(M147:M147)</f>
        <v>0.61</v>
      </c>
      <c r="N146" s="103">
        <f>SUM(N147:N147)</f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f>S147</f>
        <v>0.61</v>
      </c>
      <c r="T146" s="103">
        <f>SUM(T147:T147)</f>
        <v>1.7</v>
      </c>
      <c r="U146" s="102">
        <v>0</v>
      </c>
      <c r="V146" s="102">
        <v>0</v>
      </c>
      <c r="W146" s="104">
        <f>SUM(T146:V146)</f>
        <v>1.7</v>
      </c>
      <c r="X146" s="637"/>
      <c r="Y146" s="15"/>
      <c r="Z146" s="46"/>
    </row>
    <row r="147" spans="1:26" ht="15.75">
      <c r="A147" s="105" t="s">
        <v>322</v>
      </c>
      <c r="B147" s="106" t="s">
        <v>323</v>
      </c>
      <c r="C147" s="89" t="s">
        <v>324</v>
      </c>
      <c r="D147" s="107"/>
      <c r="E147" s="108">
        <v>0.61</v>
      </c>
      <c r="F147" s="108"/>
      <c r="G147" s="107">
        <v>2014</v>
      </c>
      <c r="H147" s="107">
        <v>2014</v>
      </c>
      <c r="I147" s="51">
        <v>1.7</v>
      </c>
      <c r="J147" s="52">
        <f>V147</f>
        <v>0</v>
      </c>
      <c r="K147" s="53">
        <f>V147</f>
        <v>0</v>
      </c>
      <c r="L147" s="53">
        <v>0</v>
      </c>
      <c r="M147" s="53">
        <v>0.61</v>
      </c>
      <c r="N147" s="54"/>
      <c r="O147" s="54"/>
      <c r="P147" s="36">
        <f>D147</f>
        <v>0</v>
      </c>
      <c r="Q147" s="36"/>
      <c r="R147" s="36">
        <f>L147+N147+P147</f>
        <v>0</v>
      </c>
      <c r="S147" s="36">
        <f>M147+O147+Q147</f>
        <v>0.61</v>
      </c>
      <c r="T147" s="55">
        <f>I147</f>
        <v>1.7</v>
      </c>
      <c r="U147" s="55">
        <v>0</v>
      </c>
      <c r="V147" s="55">
        <v>0</v>
      </c>
      <c r="W147" s="56">
        <f>T147</f>
        <v>1.7</v>
      </c>
      <c r="X147" s="637"/>
      <c r="Y147" s="15"/>
      <c r="Z147" s="46"/>
    </row>
    <row r="148" spans="1:26" s="100" customFormat="1" ht="15.75">
      <c r="A148" s="101" t="s">
        <v>325</v>
      </c>
      <c r="B148" s="102" t="s">
        <v>326</v>
      </c>
      <c r="C148" s="102"/>
      <c r="D148" s="103">
        <f>D149+D163+D170+D172</f>
        <v>2</v>
      </c>
      <c r="E148" s="103">
        <f>E149+E163+E170+E172</f>
        <v>13.01</v>
      </c>
      <c r="F148" s="103">
        <f>F149+F163+F170+F172</f>
        <v>0</v>
      </c>
      <c r="G148" s="102"/>
      <c r="H148" s="102"/>
      <c r="I148" s="103">
        <f aca="true" t="shared" si="24" ref="I148:W148">I149+I163+I170+I172</f>
        <v>25.753999999999998</v>
      </c>
      <c r="J148" s="103">
        <f t="shared" si="24"/>
        <v>1.66</v>
      </c>
      <c r="K148" s="103">
        <f t="shared" si="24"/>
        <v>1.66</v>
      </c>
      <c r="L148" s="103">
        <f t="shared" si="24"/>
        <v>0</v>
      </c>
      <c r="M148" s="103">
        <f t="shared" si="24"/>
        <v>2.4499999999999997</v>
      </c>
      <c r="N148" s="103">
        <f t="shared" si="24"/>
        <v>2</v>
      </c>
      <c r="O148" s="103">
        <f t="shared" si="24"/>
        <v>9.780000000000001</v>
      </c>
      <c r="P148" s="103">
        <f t="shared" si="24"/>
        <v>0</v>
      </c>
      <c r="Q148" s="103">
        <f t="shared" si="24"/>
        <v>0.78</v>
      </c>
      <c r="R148" s="103">
        <f t="shared" si="24"/>
        <v>2</v>
      </c>
      <c r="S148" s="103">
        <f t="shared" si="24"/>
        <v>13.01</v>
      </c>
      <c r="T148" s="103">
        <f t="shared" si="24"/>
        <v>4.68</v>
      </c>
      <c r="U148" s="103">
        <f t="shared" si="24"/>
        <v>19.413999999999998</v>
      </c>
      <c r="V148" s="103">
        <f t="shared" si="24"/>
        <v>1.66</v>
      </c>
      <c r="W148" s="104">
        <f t="shared" si="24"/>
        <v>25.753999999999998</v>
      </c>
      <c r="X148" s="637"/>
      <c r="Y148" s="15"/>
      <c r="Z148" s="46"/>
    </row>
    <row r="149" spans="1:27" s="3" customFormat="1" ht="15.75">
      <c r="A149" s="101" t="s">
        <v>327</v>
      </c>
      <c r="B149" s="102" t="s">
        <v>328</v>
      </c>
      <c r="C149" s="102"/>
      <c r="D149" s="103">
        <f>SUM(D150:D162)</f>
        <v>0</v>
      </c>
      <c r="E149" s="103">
        <f>SUM(E150:E162)</f>
        <v>4.800000000000001</v>
      </c>
      <c r="F149" s="103">
        <f>SUM(F150:F162)</f>
        <v>0</v>
      </c>
      <c r="G149" s="109"/>
      <c r="H149" s="109"/>
      <c r="I149" s="103">
        <f aca="true" t="shared" si="25" ref="I149:W149">SUM(I150:I162)</f>
        <v>5.569999999999999</v>
      </c>
      <c r="J149" s="103">
        <f t="shared" si="25"/>
        <v>0</v>
      </c>
      <c r="K149" s="103">
        <f t="shared" si="25"/>
        <v>0</v>
      </c>
      <c r="L149" s="103">
        <f t="shared" si="25"/>
        <v>0</v>
      </c>
      <c r="M149" s="103">
        <f t="shared" si="25"/>
        <v>0.39999999999999997</v>
      </c>
      <c r="N149" s="103">
        <f t="shared" si="25"/>
        <v>0</v>
      </c>
      <c r="O149" s="103">
        <f t="shared" si="25"/>
        <v>4.4</v>
      </c>
      <c r="P149" s="103">
        <f t="shared" si="25"/>
        <v>0</v>
      </c>
      <c r="Q149" s="103">
        <f t="shared" si="25"/>
        <v>0</v>
      </c>
      <c r="R149" s="103">
        <f t="shared" si="25"/>
        <v>0</v>
      </c>
      <c r="S149" s="103">
        <f t="shared" si="25"/>
        <v>4.800000000000001</v>
      </c>
      <c r="T149" s="103">
        <f t="shared" si="25"/>
        <v>0.78</v>
      </c>
      <c r="U149" s="103">
        <f t="shared" si="25"/>
        <v>4.79</v>
      </c>
      <c r="V149" s="103">
        <f t="shared" si="25"/>
        <v>0</v>
      </c>
      <c r="W149" s="104">
        <f t="shared" si="25"/>
        <v>5.569999999999999</v>
      </c>
      <c r="X149" s="637"/>
      <c r="Y149" s="15"/>
      <c r="Z149" s="46"/>
      <c r="AA149" s="103"/>
    </row>
    <row r="150" spans="1:26" ht="34.5" customHeight="1">
      <c r="A150" s="105" t="s">
        <v>329</v>
      </c>
      <c r="B150" s="106" t="s">
        <v>330</v>
      </c>
      <c r="C150" s="89" t="s">
        <v>324</v>
      </c>
      <c r="D150" s="107"/>
      <c r="E150" s="107">
        <v>0.09</v>
      </c>
      <c r="F150" s="107">
        <v>0</v>
      </c>
      <c r="G150" s="89">
        <v>2014</v>
      </c>
      <c r="H150" s="89">
        <v>2014</v>
      </c>
      <c r="I150" s="108">
        <v>0.19</v>
      </c>
      <c r="J150" s="52">
        <f aca="true" t="shared" si="26" ref="J150:J162">V150</f>
        <v>0</v>
      </c>
      <c r="K150" s="53">
        <f aca="true" t="shared" si="27" ref="K150:K162">V150</f>
        <v>0</v>
      </c>
      <c r="L150" s="107"/>
      <c r="M150" s="53">
        <f>E150</f>
        <v>0.09</v>
      </c>
      <c r="N150" s="94"/>
      <c r="O150" s="53">
        <v>0</v>
      </c>
      <c r="P150" s="94"/>
      <c r="Q150" s="94"/>
      <c r="R150" s="107"/>
      <c r="S150" s="110">
        <f aca="true" t="shared" si="28" ref="S150:S160">E150</f>
        <v>0.09</v>
      </c>
      <c r="T150" s="110">
        <v>0.19</v>
      </c>
      <c r="U150" s="110">
        <v>0</v>
      </c>
      <c r="V150" s="111">
        <v>0</v>
      </c>
      <c r="W150" s="56">
        <v>0.19</v>
      </c>
      <c r="X150" s="637"/>
      <c r="Y150" s="15"/>
      <c r="Z150" s="46"/>
    </row>
    <row r="151" spans="1:26" ht="34.5" customHeight="1">
      <c r="A151" s="105" t="s">
        <v>331</v>
      </c>
      <c r="B151" s="106" t="s">
        <v>332</v>
      </c>
      <c r="C151" s="89" t="s">
        <v>324</v>
      </c>
      <c r="D151" s="107"/>
      <c r="E151" s="107">
        <v>0.26</v>
      </c>
      <c r="F151" s="107">
        <v>0</v>
      </c>
      <c r="G151" s="89">
        <v>2014</v>
      </c>
      <c r="H151" s="89">
        <v>2014</v>
      </c>
      <c r="I151" s="108">
        <v>0.4</v>
      </c>
      <c r="J151" s="52">
        <f t="shared" si="26"/>
        <v>0</v>
      </c>
      <c r="K151" s="53">
        <f t="shared" si="27"/>
        <v>0</v>
      </c>
      <c r="L151" s="107"/>
      <c r="M151" s="53">
        <f>E151</f>
        <v>0.26</v>
      </c>
      <c r="N151" s="94"/>
      <c r="O151" s="53">
        <v>0</v>
      </c>
      <c r="P151" s="94"/>
      <c r="Q151" s="94"/>
      <c r="R151" s="107"/>
      <c r="S151" s="110">
        <f t="shared" si="28"/>
        <v>0.26</v>
      </c>
      <c r="T151" s="110">
        <v>0.4</v>
      </c>
      <c r="U151" s="110">
        <v>0</v>
      </c>
      <c r="V151" s="111">
        <v>0</v>
      </c>
      <c r="W151" s="56">
        <v>0.4</v>
      </c>
      <c r="X151" s="637"/>
      <c r="Y151" s="15"/>
      <c r="Z151" s="46"/>
    </row>
    <row r="152" spans="1:26" ht="34.5" customHeight="1">
      <c r="A152" s="105" t="s">
        <v>333</v>
      </c>
      <c r="B152" s="106" t="s">
        <v>334</v>
      </c>
      <c r="C152" s="89" t="s">
        <v>324</v>
      </c>
      <c r="D152" s="107"/>
      <c r="E152" s="107">
        <v>0.05</v>
      </c>
      <c r="F152" s="107">
        <v>0</v>
      </c>
      <c r="G152" s="89">
        <v>2014</v>
      </c>
      <c r="H152" s="89">
        <v>2014</v>
      </c>
      <c r="I152" s="108">
        <v>0.19</v>
      </c>
      <c r="J152" s="52">
        <f t="shared" si="26"/>
        <v>0</v>
      </c>
      <c r="K152" s="53">
        <f t="shared" si="27"/>
        <v>0</v>
      </c>
      <c r="L152" s="107"/>
      <c r="M152" s="53">
        <f>E152</f>
        <v>0.05</v>
      </c>
      <c r="N152" s="94"/>
      <c r="O152" s="53">
        <v>0</v>
      </c>
      <c r="P152" s="94"/>
      <c r="Q152" s="94"/>
      <c r="R152" s="107"/>
      <c r="S152" s="110">
        <f t="shared" si="28"/>
        <v>0.05</v>
      </c>
      <c r="T152" s="110">
        <v>0.19</v>
      </c>
      <c r="U152" s="110">
        <v>0</v>
      </c>
      <c r="V152" s="111">
        <v>0</v>
      </c>
      <c r="W152" s="56">
        <v>0.19</v>
      </c>
      <c r="X152" s="637"/>
      <c r="Y152" s="15"/>
      <c r="Z152" s="46"/>
    </row>
    <row r="153" spans="1:26" ht="34.5" customHeight="1">
      <c r="A153" s="105" t="s">
        <v>335</v>
      </c>
      <c r="B153" s="112" t="s">
        <v>336</v>
      </c>
      <c r="C153" s="89" t="s">
        <v>324</v>
      </c>
      <c r="D153" s="107"/>
      <c r="E153" s="107">
        <v>0.7</v>
      </c>
      <c r="F153" s="107">
        <v>0</v>
      </c>
      <c r="G153" s="50">
        <v>2015</v>
      </c>
      <c r="H153" s="50">
        <v>2015</v>
      </c>
      <c r="I153" s="108">
        <v>1.15</v>
      </c>
      <c r="J153" s="52">
        <f t="shared" si="26"/>
        <v>0</v>
      </c>
      <c r="K153" s="53">
        <f t="shared" si="27"/>
        <v>0</v>
      </c>
      <c r="L153" s="107"/>
      <c r="M153" s="107">
        <v>0</v>
      </c>
      <c r="N153" s="94"/>
      <c r="O153" s="53">
        <f aca="true" t="shared" si="29" ref="O153:O162">E153</f>
        <v>0.7</v>
      </c>
      <c r="P153" s="94"/>
      <c r="Q153" s="94"/>
      <c r="R153" s="107"/>
      <c r="S153" s="110">
        <f t="shared" si="28"/>
        <v>0.7</v>
      </c>
      <c r="T153" s="110">
        <v>0</v>
      </c>
      <c r="U153" s="108">
        <v>1.15</v>
      </c>
      <c r="V153" s="111">
        <v>0</v>
      </c>
      <c r="W153" s="56">
        <f aca="true" t="shared" si="30" ref="W153:W162">T153+U153+V153</f>
        <v>1.15</v>
      </c>
      <c r="X153" s="637"/>
      <c r="Y153" s="15"/>
      <c r="Z153" s="46"/>
    </row>
    <row r="154" spans="1:26" ht="34.5" customHeight="1">
      <c r="A154" s="113" t="s">
        <v>337</v>
      </c>
      <c r="B154" s="71" t="s">
        <v>338</v>
      </c>
      <c r="C154" s="89" t="s">
        <v>324</v>
      </c>
      <c r="D154" s="107"/>
      <c r="E154" s="107">
        <v>0.33</v>
      </c>
      <c r="F154" s="107">
        <v>0</v>
      </c>
      <c r="G154" s="50">
        <v>2015</v>
      </c>
      <c r="H154" s="50">
        <v>2015</v>
      </c>
      <c r="I154" s="108">
        <v>0.29</v>
      </c>
      <c r="J154" s="52">
        <f t="shared" si="26"/>
        <v>0</v>
      </c>
      <c r="K154" s="53">
        <f t="shared" si="27"/>
        <v>0</v>
      </c>
      <c r="L154" s="107"/>
      <c r="M154" s="107">
        <v>0</v>
      </c>
      <c r="N154" s="94"/>
      <c r="O154" s="53">
        <f t="shared" si="29"/>
        <v>0.33</v>
      </c>
      <c r="P154" s="94"/>
      <c r="Q154" s="94"/>
      <c r="R154" s="107"/>
      <c r="S154" s="110">
        <f t="shared" si="28"/>
        <v>0.33</v>
      </c>
      <c r="T154" s="110">
        <v>0</v>
      </c>
      <c r="U154" s="108">
        <v>0.29</v>
      </c>
      <c r="V154" s="111">
        <v>0</v>
      </c>
      <c r="W154" s="56">
        <f t="shared" si="30"/>
        <v>0.29</v>
      </c>
      <c r="X154" s="637"/>
      <c r="Y154" s="114"/>
      <c r="Z154" s="46"/>
    </row>
    <row r="155" spans="1:26" ht="34.5" customHeight="1">
      <c r="A155" s="113" t="s">
        <v>339</v>
      </c>
      <c r="B155" s="115" t="s">
        <v>340</v>
      </c>
      <c r="C155" s="89" t="s">
        <v>324</v>
      </c>
      <c r="D155" s="107"/>
      <c r="E155" s="107">
        <v>0.49</v>
      </c>
      <c r="F155" s="107">
        <v>0</v>
      </c>
      <c r="G155" s="50">
        <v>2015</v>
      </c>
      <c r="H155" s="50">
        <v>2015</v>
      </c>
      <c r="I155" s="108">
        <v>0.53</v>
      </c>
      <c r="J155" s="52">
        <f t="shared" si="26"/>
        <v>0</v>
      </c>
      <c r="K155" s="53">
        <f t="shared" si="27"/>
        <v>0</v>
      </c>
      <c r="L155" s="107"/>
      <c r="M155" s="107">
        <v>0</v>
      </c>
      <c r="N155" s="94"/>
      <c r="O155" s="53">
        <f t="shared" si="29"/>
        <v>0.49</v>
      </c>
      <c r="P155" s="94"/>
      <c r="Q155" s="94"/>
      <c r="R155" s="107"/>
      <c r="S155" s="110">
        <f t="shared" si="28"/>
        <v>0.49</v>
      </c>
      <c r="T155" s="110">
        <v>0</v>
      </c>
      <c r="U155" s="108">
        <v>0.53</v>
      </c>
      <c r="V155" s="111">
        <v>0</v>
      </c>
      <c r="W155" s="56">
        <f t="shared" si="30"/>
        <v>0.53</v>
      </c>
      <c r="X155" s="637"/>
      <c r="Y155" s="15"/>
      <c r="Z155" s="46"/>
    </row>
    <row r="156" spans="1:26" ht="34.5" customHeight="1">
      <c r="A156" s="113" t="s">
        <v>341</v>
      </c>
      <c r="B156" s="115" t="s">
        <v>342</v>
      </c>
      <c r="C156" s="89" t="s">
        <v>324</v>
      </c>
      <c r="D156" s="107"/>
      <c r="E156" s="107">
        <v>0.24</v>
      </c>
      <c r="F156" s="107">
        <v>0</v>
      </c>
      <c r="G156" s="50">
        <v>2015</v>
      </c>
      <c r="H156" s="50">
        <v>2015</v>
      </c>
      <c r="I156" s="108">
        <v>0.85</v>
      </c>
      <c r="J156" s="52">
        <f t="shared" si="26"/>
        <v>0</v>
      </c>
      <c r="K156" s="53">
        <f t="shared" si="27"/>
        <v>0</v>
      </c>
      <c r="L156" s="107"/>
      <c r="M156" s="107">
        <v>0</v>
      </c>
      <c r="N156" s="94"/>
      <c r="O156" s="53">
        <f t="shared" si="29"/>
        <v>0.24</v>
      </c>
      <c r="P156" s="94"/>
      <c r="Q156" s="94"/>
      <c r="R156" s="107"/>
      <c r="S156" s="110">
        <f t="shared" si="28"/>
        <v>0.24</v>
      </c>
      <c r="T156" s="110">
        <v>0</v>
      </c>
      <c r="U156" s="108">
        <v>0.85</v>
      </c>
      <c r="V156" s="111">
        <v>0</v>
      </c>
      <c r="W156" s="56">
        <f t="shared" si="30"/>
        <v>0.85</v>
      </c>
      <c r="X156" s="637"/>
      <c r="Y156" s="15"/>
      <c r="Z156" s="46"/>
    </row>
    <row r="157" spans="1:26" ht="34.5" customHeight="1">
      <c r="A157" s="113" t="s">
        <v>343</v>
      </c>
      <c r="B157" s="112" t="s">
        <v>344</v>
      </c>
      <c r="C157" s="89" t="s">
        <v>324</v>
      </c>
      <c r="D157" s="107"/>
      <c r="E157" s="107">
        <v>0.34</v>
      </c>
      <c r="F157" s="107">
        <v>0</v>
      </c>
      <c r="G157" s="50">
        <v>2015</v>
      </c>
      <c r="H157" s="50">
        <v>2015</v>
      </c>
      <c r="I157" s="108">
        <v>0.24</v>
      </c>
      <c r="J157" s="52">
        <f t="shared" si="26"/>
        <v>0</v>
      </c>
      <c r="K157" s="53">
        <f t="shared" si="27"/>
        <v>0</v>
      </c>
      <c r="L157" s="107"/>
      <c r="M157" s="107">
        <v>0</v>
      </c>
      <c r="N157" s="94"/>
      <c r="O157" s="53">
        <f t="shared" si="29"/>
        <v>0.34</v>
      </c>
      <c r="P157" s="94"/>
      <c r="Q157" s="94"/>
      <c r="R157" s="107"/>
      <c r="S157" s="110">
        <f t="shared" si="28"/>
        <v>0.34</v>
      </c>
      <c r="T157" s="110">
        <v>0</v>
      </c>
      <c r="U157" s="108">
        <v>0.24</v>
      </c>
      <c r="V157" s="111">
        <v>0</v>
      </c>
      <c r="W157" s="56">
        <f t="shared" si="30"/>
        <v>0.24</v>
      </c>
      <c r="X157" s="637"/>
      <c r="Y157" s="15"/>
      <c r="Z157" s="46"/>
    </row>
    <row r="158" spans="1:26" s="4" customFormat="1" ht="31.5">
      <c r="A158" s="113" t="s">
        <v>345</v>
      </c>
      <c r="B158" s="62" t="s">
        <v>346</v>
      </c>
      <c r="C158" s="36" t="s">
        <v>324</v>
      </c>
      <c r="D158" s="36"/>
      <c r="E158" s="36">
        <v>0.46</v>
      </c>
      <c r="F158" s="107">
        <v>0</v>
      </c>
      <c r="G158" s="50">
        <v>2015</v>
      </c>
      <c r="H158" s="50">
        <v>2015</v>
      </c>
      <c r="I158" s="51">
        <v>0.35</v>
      </c>
      <c r="J158" s="52">
        <f t="shared" si="26"/>
        <v>0</v>
      </c>
      <c r="K158" s="53">
        <f t="shared" si="27"/>
        <v>0</v>
      </c>
      <c r="L158" s="64"/>
      <c r="M158" s="64">
        <v>0</v>
      </c>
      <c r="N158" s="53"/>
      <c r="O158" s="53">
        <f t="shared" si="29"/>
        <v>0.46</v>
      </c>
      <c r="P158" s="36"/>
      <c r="Q158" s="36"/>
      <c r="R158" s="36"/>
      <c r="S158" s="110">
        <f t="shared" si="28"/>
        <v>0.46</v>
      </c>
      <c r="T158" s="116">
        <v>0</v>
      </c>
      <c r="U158" s="51">
        <v>0.35</v>
      </c>
      <c r="V158" s="59">
        <v>0</v>
      </c>
      <c r="W158" s="56">
        <f t="shared" si="30"/>
        <v>0.35</v>
      </c>
      <c r="X158" s="637"/>
      <c r="Y158" s="15"/>
      <c r="Z158" s="46"/>
    </row>
    <row r="159" spans="1:26" ht="31.5">
      <c r="A159" s="113" t="s">
        <v>347</v>
      </c>
      <c r="B159" s="117" t="s">
        <v>348</v>
      </c>
      <c r="C159" s="89" t="s">
        <v>324</v>
      </c>
      <c r="D159" s="89"/>
      <c r="E159" s="89">
        <v>0.18</v>
      </c>
      <c r="F159" s="107">
        <v>0</v>
      </c>
      <c r="G159" s="107">
        <v>2015</v>
      </c>
      <c r="H159" s="107">
        <v>2015</v>
      </c>
      <c r="I159" s="52">
        <v>0.22</v>
      </c>
      <c r="J159" s="52">
        <f t="shared" si="26"/>
        <v>0</v>
      </c>
      <c r="K159" s="53">
        <f t="shared" si="27"/>
        <v>0</v>
      </c>
      <c r="L159" s="94"/>
      <c r="M159" s="94">
        <v>0</v>
      </c>
      <c r="N159" s="53"/>
      <c r="O159" s="53">
        <f t="shared" si="29"/>
        <v>0.18</v>
      </c>
      <c r="P159" s="94"/>
      <c r="Q159" s="94"/>
      <c r="R159" s="36"/>
      <c r="S159" s="110">
        <f t="shared" si="28"/>
        <v>0.18</v>
      </c>
      <c r="T159" s="110">
        <v>0</v>
      </c>
      <c r="U159" s="52">
        <v>0.22</v>
      </c>
      <c r="V159" s="111">
        <v>0</v>
      </c>
      <c r="W159" s="56">
        <f t="shared" si="30"/>
        <v>0.22</v>
      </c>
      <c r="X159" s="637"/>
      <c r="Y159" s="15"/>
      <c r="Z159" s="46"/>
    </row>
    <row r="160" spans="1:26" s="4" customFormat="1" ht="31.5">
      <c r="A160" s="113" t="s">
        <v>349</v>
      </c>
      <c r="B160" s="62" t="s">
        <v>350</v>
      </c>
      <c r="C160" s="36" t="s">
        <v>324</v>
      </c>
      <c r="D160" s="36"/>
      <c r="E160" s="36">
        <v>0.16</v>
      </c>
      <c r="F160" s="107">
        <v>0</v>
      </c>
      <c r="G160" s="50">
        <v>2015</v>
      </c>
      <c r="H160" s="50">
        <v>2015</v>
      </c>
      <c r="I160" s="52">
        <v>0.22</v>
      </c>
      <c r="J160" s="52">
        <f t="shared" si="26"/>
        <v>0</v>
      </c>
      <c r="K160" s="53">
        <f t="shared" si="27"/>
        <v>0</v>
      </c>
      <c r="L160" s="64"/>
      <c r="M160" s="64">
        <v>0</v>
      </c>
      <c r="N160" s="53"/>
      <c r="O160" s="53">
        <f t="shared" si="29"/>
        <v>0.16</v>
      </c>
      <c r="P160" s="36"/>
      <c r="Q160" s="36"/>
      <c r="R160" s="36"/>
      <c r="S160" s="110">
        <f t="shared" si="28"/>
        <v>0.16</v>
      </c>
      <c r="T160" s="116">
        <v>0</v>
      </c>
      <c r="U160" s="52">
        <v>0.22</v>
      </c>
      <c r="V160" s="59">
        <v>0</v>
      </c>
      <c r="W160" s="56">
        <f t="shared" si="30"/>
        <v>0.22</v>
      </c>
      <c r="X160" s="637"/>
      <c r="Y160" s="15"/>
      <c r="Z160" s="46"/>
    </row>
    <row r="161" spans="1:26" s="4" customFormat="1" ht="31.5">
      <c r="A161" s="113" t="s">
        <v>351</v>
      </c>
      <c r="B161" s="58" t="s">
        <v>352</v>
      </c>
      <c r="C161" s="36" t="s">
        <v>78</v>
      </c>
      <c r="D161" s="36"/>
      <c r="E161" s="36">
        <v>1</v>
      </c>
      <c r="F161" s="107">
        <v>0</v>
      </c>
      <c r="G161" s="50">
        <v>2015</v>
      </c>
      <c r="H161" s="50">
        <v>2015</v>
      </c>
      <c r="I161" s="51">
        <v>0.66</v>
      </c>
      <c r="J161" s="52">
        <f t="shared" si="26"/>
        <v>0</v>
      </c>
      <c r="K161" s="53">
        <f t="shared" si="27"/>
        <v>0</v>
      </c>
      <c r="L161" s="64"/>
      <c r="M161" s="64">
        <v>0</v>
      </c>
      <c r="N161" s="36"/>
      <c r="O161" s="36">
        <f t="shared" si="29"/>
        <v>1</v>
      </c>
      <c r="P161" s="54"/>
      <c r="Q161" s="54"/>
      <c r="R161" s="36"/>
      <c r="S161" s="59">
        <f>M161+O161+Q161</f>
        <v>1</v>
      </c>
      <c r="T161" s="116">
        <v>0</v>
      </c>
      <c r="U161" s="51">
        <v>0.66</v>
      </c>
      <c r="V161" s="116">
        <v>0</v>
      </c>
      <c r="W161" s="56">
        <f t="shared" si="30"/>
        <v>0.66</v>
      </c>
      <c r="X161" s="637"/>
      <c r="Y161" s="15"/>
      <c r="Z161" s="46"/>
    </row>
    <row r="162" spans="1:26" s="4" customFormat="1" ht="31.5">
      <c r="A162" s="113" t="s">
        <v>353</v>
      </c>
      <c r="B162" s="58" t="s">
        <v>354</v>
      </c>
      <c r="C162" s="36" t="s">
        <v>78</v>
      </c>
      <c r="D162" s="36"/>
      <c r="E162" s="36">
        <v>0.5</v>
      </c>
      <c r="F162" s="107">
        <v>0</v>
      </c>
      <c r="G162" s="50">
        <v>2015</v>
      </c>
      <c r="H162" s="50">
        <v>2015</v>
      </c>
      <c r="I162" s="51">
        <v>0.28</v>
      </c>
      <c r="J162" s="52">
        <f t="shared" si="26"/>
        <v>0</v>
      </c>
      <c r="K162" s="53">
        <f t="shared" si="27"/>
        <v>0</v>
      </c>
      <c r="L162" s="64"/>
      <c r="M162" s="64">
        <v>0</v>
      </c>
      <c r="N162" s="36"/>
      <c r="O162" s="36">
        <f t="shared" si="29"/>
        <v>0.5</v>
      </c>
      <c r="P162" s="54"/>
      <c r="Q162" s="54"/>
      <c r="R162" s="36"/>
      <c r="S162" s="59">
        <f>M162+O162+Q162</f>
        <v>0.5</v>
      </c>
      <c r="T162" s="116">
        <v>0</v>
      </c>
      <c r="U162" s="51">
        <v>0.28</v>
      </c>
      <c r="V162" s="116">
        <v>0</v>
      </c>
      <c r="W162" s="56">
        <f t="shared" si="30"/>
        <v>0.28</v>
      </c>
      <c r="X162" s="637"/>
      <c r="Y162" s="15"/>
      <c r="Z162" s="46"/>
    </row>
    <row r="163" spans="1:26" ht="15.75">
      <c r="A163" s="118" t="s">
        <v>355</v>
      </c>
      <c r="B163" s="119" t="s">
        <v>356</v>
      </c>
      <c r="C163" s="120"/>
      <c r="D163" s="121">
        <f>SUM(D164:D169)</f>
        <v>0</v>
      </c>
      <c r="E163" s="121">
        <f>SUM(E164:E169)</f>
        <v>8.209999999999999</v>
      </c>
      <c r="F163" s="121">
        <f>SUM(F164:F169)</f>
        <v>0</v>
      </c>
      <c r="G163" s="120"/>
      <c r="H163" s="120"/>
      <c r="I163" s="121">
        <f aca="true" t="shared" si="31" ref="I163:V163">SUM(I164:I169)</f>
        <v>14.439999999999998</v>
      </c>
      <c r="J163" s="121">
        <f t="shared" si="31"/>
        <v>1.66</v>
      </c>
      <c r="K163" s="121">
        <f t="shared" si="31"/>
        <v>1.66</v>
      </c>
      <c r="L163" s="121">
        <f t="shared" si="31"/>
        <v>0</v>
      </c>
      <c r="M163" s="121">
        <f t="shared" si="31"/>
        <v>2.05</v>
      </c>
      <c r="N163" s="121">
        <f t="shared" si="31"/>
        <v>0</v>
      </c>
      <c r="O163" s="121">
        <f t="shared" si="31"/>
        <v>5.38</v>
      </c>
      <c r="P163" s="121">
        <f t="shared" si="31"/>
        <v>0</v>
      </c>
      <c r="Q163" s="121">
        <f t="shared" si="31"/>
        <v>0.78</v>
      </c>
      <c r="R163" s="121">
        <f t="shared" si="31"/>
        <v>0</v>
      </c>
      <c r="S163" s="121">
        <f t="shared" si="31"/>
        <v>8.209999999999999</v>
      </c>
      <c r="T163" s="121">
        <f t="shared" si="31"/>
        <v>3.9</v>
      </c>
      <c r="U163" s="121">
        <f t="shared" si="31"/>
        <v>8.879999999999999</v>
      </c>
      <c r="V163" s="121">
        <f t="shared" si="31"/>
        <v>1.66</v>
      </c>
      <c r="W163" s="104">
        <f aca="true" t="shared" si="32" ref="W163:W171">SUM(T163:V163)</f>
        <v>14.44</v>
      </c>
      <c r="X163" s="637"/>
      <c r="Y163" s="15"/>
      <c r="Z163" s="46"/>
    </row>
    <row r="164" spans="1:26" ht="32.25" customHeight="1">
      <c r="A164" s="113" t="s">
        <v>357</v>
      </c>
      <c r="B164" s="71" t="s">
        <v>358</v>
      </c>
      <c r="C164" s="36" t="s">
        <v>324</v>
      </c>
      <c r="D164" s="89"/>
      <c r="E164" s="53">
        <v>2.05</v>
      </c>
      <c r="F164" s="89">
        <v>0</v>
      </c>
      <c r="G164" s="89">
        <v>2014</v>
      </c>
      <c r="H164" s="89">
        <v>2014</v>
      </c>
      <c r="I164" s="53">
        <v>3.9</v>
      </c>
      <c r="J164" s="52">
        <f aca="true" t="shared" si="33" ref="J164:J169">V164</f>
        <v>0</v>
      </c>
      <c r="K164" s="53">
        <f aca="true" t="shared" si="34" ref="K164:K169">V164</f>
        <v>0</v>
      </c>
      <c r="L164" s="89"/>
      <c r="M164" s="53">
        <f>E164</f>
        <v>2.05</v>
      </c>
      <c r="N164" s="122"/>
      <c r="O164" s="95"/>
      <c r="P164" s="95"/>
      <c r="Q164" s="95"/>
      <c r="R164" s="89"/>
      <c r="S164" s="36">
        <f>M164+O164+Q164</f>
        <v>2.05</v>
      </c>
      <c r="T164" s="53">
        <v>3.9</v>
      </c>
      <c r="U164" s="92">
        <v>0</v>
      </c>
      <c r="V164" s="92">
        <v>0</v>
      </c>
      <c r="W164" s="123">
        <f t="shared" si="32"/>
        <v>3.9</v>
      </c>
      <c r="X164" s="637"/>
      <c r="Y164" s="45"/>
      <c r="Z164" s="46"/>
    </row>
    <row r="165" spans="1:26" ht="32.25" customHeight="1">
      <c r="A165" s="113" t="s">
        <v>359</v>
      </c>
      <c r="B165" s="71" t="s">
        <v>360</v>
      </c>
      <c r="C165" s="36" t="s">
        <v>324</v>
      </c>
      <c r="D165" s="89" t="s">
        <v>37</v>
      </c>
      <c r="E165" s="89">
        <v>0.45</v>
      </c>
      <c r="F165" s="107">
        <v>0</v>
      </c>
      <c r="G165" s="89">
        <v>2015</v>
      </c>
      <c r="H165" s="89">
        <v>2015</v>
      </c>
      <c r="I165" s="108">
        <v>0.62</v>
      </c>
      <c r="J165" s="52">
        <f t="shared" si="33"/>
        <v>0</v>
      </c>
      <c r="K165" s="53">
        <f t="shared" si="34"/>
        <v>0</v>
      </c>
      <c r="L165" s="89" t="s">
        <v>37</v>
      </c>
      <c r="M165" s="124">
        <v>0</v>
      </c>
      <c r="N165" s="122"/>
      <c r="O165" s="122">
        <v>0.45</v>
      </c>
      <c r="P165" s="95"/>
      <c r="Q165" s="122"/>
      <c r="R165" s="89" t="s">
        <v>37</v>
      </c>
      <c r="S165" s="89">
        <f>E165</f>
        <v>0.45</v>
      </c>
      <c r="T165" s="108">
        <v>0</v>
      </c>
      <c r="U165" s="108">
        <v>0.62</v>
      </c>
      <c r="V165" s="108">
        <v>0</v>
      </c>
      <c r="W165" s="123">
        <f t="shared" si="32"/>
        <v>0.62</v>
      </c>
      <c r="X165" s="637"/>
      <c r="Y165" s="45"/>
      <c r="Z165" s="46"/>
    </row>
    <row r="166" spans="1:26" ht="32.25" customHeight="1">
      <c r="A166" s="113" t="s">
        <v>361</v>
      </c>
      <c r="B166" s="112" t="s">
        <v>362</v>
      </c>
      <c r="C166" s="36" t="s">
        <v>324</v>
      </c>
      <c r="D166" s="89"/>
      <c r="E166" s="53">
        <v>1.76</v>
      </c>
      <c r="F166" s="89">
        <v>0</v>
      </c>
      <c r="G166" s="89">
        <v>2015</v>
      </c>
      <c r="H166" s="89">
        <v>2015</v>
      </c>
      <c r="I166" s="53">
        <v>2.02</v>
      </c>
      <c r="J166" s="52">
        <f t="shared" si="33"/>
        <v>0</v>
      </c>
      <c r="K166" s="53">
        <f t="shared" si="34"/>
        <v>0</v>
      </c>
      <c r="L166" s="89"/>
      <c r="M166" s="53">
        <v>0</v>
      </c>
      <c r="N166" s="122"/>
      <c r="O166" s="53">
        <v>1.76</v>
      </c>
      <c r="P166" s="95"/>
      <c r="Q166" s="95"/>
      <c r="R166" s="89"/>
      <c r="S166" s="36">
        <f>M166+O166+Q166</f>
        <v>1.76</v>
      </c>
      <c r="T166" s="53">
        <v>0</v>
      </c>
      <c r="U166" s="92">
        <v>2.02</v>
      </c>
      <c r="V166" s="92">
        <v>0</v>
      </c>
      <c r="W166" s="123">
        <f t="shared" si="32"/>
        <v>2.02</v>
      </c>
      <c r="X166" s="637"/>
      <c r="Y166" s="45"/>
      <c r="Z166" s="46"/>
    </row>
    <row r="167" spans="1:26" ht="32.25" customHeight="1">
      <c r="A167" s="113" t="s">
        <v>363</v>
      </c>
      <c r="B167" s="112" t="s">
        <v>364</v>
      </c>
      <c r="C167" s="36" t="s">
        <v>324</v>
      </c>
      <c r="D167" s="89"/>
      <c r="E167" s="53">
        <v>1.8</v>
      </c>
      <c r="F167" s="89">
        <v>0</v>
      </c>
      <c r="G167" s="89">
        <v>2015</v>
      </c>
      <c r="H167" s="89">
        <v>2015</v>
      </c>
      <c r="I167" s="53">
        <v>2.38</v>
      </c>
      <c r="J167" s="52">
        <f t="shared" si="33"/>
        <v>0</v>
      </c>
      <c r="K167" s="53">
        <f t="shared" si="34"/>
        <v>0</v>
      </c>
      <c r="L167" s="89"/>
      <c r="M167" s="53">
        <v>0</v>
      </c>
      <c r="N167" s="122"/>
      <c r="O167" s="53">
        <v>1.8</v>
      </c>
      <c r="P167" s="95"/>
      <c r="Q167" s="95"/>
      <c r="R167" s="89"/>
      <c r="S167" s="36">
        <f>M167+O167+Q167</f>
        <v>1.8</v>
      </c>
      <c r="T167" s="53">
        <v>0</v>
      </c>
      <c r="U167" s="92">
        <v>2.38</v>
      </c>
      <c r="V167" s="92">
        <v>0</v>
      </c>
      <c r="W167" s="123">
        <f t="shared" si="32"/>
        <v>2.38</v>
      </c>
      <c r="X167" s="637"/>
      <c r="Y167" s="45"/>
      <c r="Z167" s="46"/>
    </row>
    <row r="168" spans="1:26" ht="32.25" customHeight="1">
      <c r="A168" s="113" t="s">
        <v>365</v>
      </c>
      <c r="B168" s="112" t="s">
        <v>366</v>
      </c>
      <c r="C168" s="36" t="s">
        <v>324</v>
      </c>
      <c r="D168" s="89"/>
      <c r="E168" s="53">
        <v>1.37</v>
      </c>
      <c r="F168" s="107">
        <v>0</v>
      </c>
      <c r="G168" s="89">
        <v>2015</v>
      </c>
      <c r="H168" s="89">
        <v>2015</v>
      </c>
      <c r="I168" s="53">
        <v>3.86</v>
      </c>
      <c r="J168" s="52">
        <f t="shared" si="33"/>
        <v>0</v>
      </c>
      <c r="K168" s="53">
        <f t="shared" si="34"/>
        <v>0</v>
      </c>
      <c r="L168" s="89"/>
      <c r="M168" s="53">
        <v>0</v>
      </c>
      <c r="N168" s="122"/>
      <c r="O168" s="53">
        <v>1.37</v>
      </c>
      <c r="P168" s="95"/>
      <c r="Q168" s="95"/>
      <c r="R168" s="89"/>
      <c r="S168" s="36">
        <f>M168+O168+Q168</f>
        <v>1.37</v>
      </c>
      <c r="T168" s="53">
        <v>0</v>
      </c>
      <c r="U168" s="92">
        <v>3.86</v>
      </c>
      <c r="V168" s="92">
        <v>0</v>
      </c>
      <c r="W168" s="123">
        <f t="shared" si="32"/>
        <v>3.86</v>
      </c>
      <c r="X168" s="637"/>
      <c r="Y168" s="45"/>
      <c r="Z168" s="46"/>
    </row>
    <row r="169" spans="1:26" ht="32.25" customHeight="1">
      <c r="A169" s="113" t="s">
        <v>367</v>
      </c>
      <c r="B169" s="112" t="s">
        <v>368</v>
      </c>
      <c r="C169" s="36" t="s">
        <v>324</v>
      </c>
      <c r="D169" s="89"/>
      <c r="E169" s="53">
        <v>0.78</v>
      </c>
      <c r="F169" s="107">
        <v>0</v>
      </c>
      <c r="G169" s="89">
        <v>2016</v>
      </c>
      <c r="H169" s="89">
        <v>2016</v>
      </c>
      <c r="I169" s="53">
        <v>1.66</v>
      </c>
      <c r="J169" s="52">
        <f t="shared" si="33"/>
        <v>1.66</v>
      </c>
      <c r="K169" s="53">
        <f t="shared" si="34"/>
        <v>1.66</v>
      </c>
      <c r="L169" s="89"/>
      <c r="M169" s="53">
        <v>0</v>
      </c>
      <c r="N169" s="122"/>
      <c r="O169" s="53"/>
      <c r="P169" s="95"/>
      <c r="Q169" s="122">
        <v>0.78</v>
      </c>
      <c r="R169" s="89"/>
      <c r="S169" s="36">
        <f>M169+O169+Q169</f>
        <v>0.78</v>
      </c>
      <c r="T169" s="53">
        <v>0</v>
      </c>
      <c r="U169" s="92">
        <v>0</v>
      </c>
      <c r="V169" s="92">
        <v>1.66</v>
      </c>
      <c r="W169" s="123">
        <f t="shared" si="32"/>
        <v>1.66</v>
      </c>
      <c r="X169" s="637"/>
      <c r="Y169" s="45"/>
      <c r="Z169" s="46"/>
    </row>
    <row r="170" spans="1:26" ht="15.75">
      <c r="A170" s="118" t="s">
        <v>370</v>
      </c>
      <c r="B170" s="119" t="s">
        <v>371</v>
      </c>
      <c r="C170" s="120"/>
      <c r="D170" s="120">
        <f>SUM(D171)</f>
        <v>2</v>
      </c>
      <c r="E170" s="120">
        <f>SUM(E171)</f>
        <v>0</v>
      </c>
      <c r="F170" s="120">
        <f>SUM(F171)</f>
        <v>0</v>
      </c>
      <c r="G170" s="120"/>
      <c r="H170" s="120"/>
      <c r="I170" s="125">
        <f>SUM(I171:I171)</f>
        <v>2.714</v>
      </c>
      <c r="J170" s="126">
        <f>SUM(J171:J171)</f>
        <v>0</v>
      </c>
      <c r="K170" s="126">
        <f>SUM(K171:K171)</f>
        <v>0</v>
      </c>
      <c r="L170" s="120">
        <f aca="true" t="shared" si="35" ref="L170:T170">SUM(L171)</f>
        <v>0</v>
      </c>
      <c r="M170" s="120">
        <f t="shared" si="35"/>
        <v>0</v>
      </c>
      <c r="N170" s="120">
        <f t="shared" si="35"/>
        <v>2</v>
      </c>
      <c r="O170" s="120">
        <f t="shared" si="35"/>
        <v>0</v>
      </c>
      <c r="P170" s="120">
        <f t="shared" si="35"/>
        <v>0</v>
      </c>
      <c r="Q170" s="120">
        <f t="shared" si="35"/>
        <v>0</v>
      </c>
      <c r="R170" s="120">
        <f t="shared" si="35"/>
        <v>2</v>
      </c>
      <c r="S170" s="120">
        <f t="shared" si="35"/>
        <v>0</v>
      </c>
      <c r="T170" s="120">
        <f t="shared" si="35"/>
        <v>0</v>
      </c>
      <c r="U170" s="121">
        <f>SUM(U171:U171)</f>
        <v>2.714</v>
      </c>
      <c r="V170" s="121">
        <f>SUM(V171:V171)</f>
        <v>0</v>
      </c>
      <c r="W170" s="104">
        <f t="shared" si="32"/>
        <v>2.714</v>
      </c>
      <c r="X170" s="637"/>
      <c r="Y170" s="15"/>
      <c r="Z170" s="46"/>
    </row>
    <row r="171" spans="1:26" s="4" customFormat="1" ht="15.75">
      <c r="A171" s="127" t="s">
        <v>372</v>
      </c>
      <c r="B171" s="72" t="s">
        <v>373</v>
      </c>
      <c r="C171" s="36" t="s">
        <v>324</v>
      </c>
      <c r="D171" s="36">
        <v>2</v>
      </c>
      <c r="E171" s="36" t="s">
        <v>37</v>
      </c>
      <c r="F171" s="36">
        <v>0</v>
      </c>
      <c r="G171" s="36">
        <v>2015</v>
      </c>
      <c r="H171" s="36">
        <v>2015</v>
      </c>
      <c r="I171" s="52">
        <f>(2.1+0.2)*1.18</f>
        <v>2.714</v>
      </c>
      <c r="J171" s="52">
        <f>V171</f>
        <v>0</v>
      </c>
      <c r="K171" s="53">
        <f>V171</f>
        <v>0</v>
      </c>
      <c r="L171" s="36" t="s">
        <v>37</v>
      </c>
      <c r="M171" s="36" t="s">
        <v>37</v>
      </c>
      <c r="N171" s="128">
        <f>D171</f>
        <v>2</v>
      </c>
      <c r="O171" s="128"/>
      <c r="P171" s="128"/>
      <c r="Q171" s="128"/>
      <c r="R171" s="36">
        <f>D171</f>
        <v>2</v>
      </c>
      <c r="S171" s="36">
        <v>0</v>
      </c>
      <c r="T171" s="64">
        <v>0</v>
      </c>
      <c r="U171" s="53">
        <f>I171</f>
        <v>2.714</v>
      </c>
      <c r="V171" s="64">
        <v>0</v>
      </c>
      <c r="W171" s="123">
        <f t="shared" si="32"/>
        <v>2.714</v>
      </c>
      <c r="X171" s="637"/>
      <c r="Y171" s="15"/>
      <c r="Z171" s="46"/>
    </row>
    <row r="172" spans="1:26" s="4" customFormat="1" ht="15.75">
      <c r="A172" s="118" t="s">
        <v>374</v>
      </c>
      <c r="B172" s="119" t="s">
        <v>375</v>
      </c>
      <c r="C172" s="79"/>
      <c r="D172" s="79">
        <v>0</v>
      </c>
      <c r="E172" s="79">
        <v>0</v>
      </c>
      <c r="F172" s="79">
        <v>0</v>
      </c>
      <c r="G172" s="79">
        <v>2015</v>
      </c>
      <c r="H172" s="79">
        <v>2015</v>
      </c>
      <c r="I172" s="82">
        <v>3.03</v>
      </c>
      <c r="J172" s="642">
        <f>V172</f>
        <v>0</v>
      </c>
      <c r="K172" s="82">
        <f>V172</f>
        <v>0</v>
      </c>
      <c r="L172" s="79">
        <v>0</v>
      </c>
      <c r="M172" s="79">
        <v>0</v>
      </c>
      <c r="N172" s="85">
        <v>0</v>
      </c>
      <c r="O172" s="85">
        <v>0</v>
      </c>
      <c r="P172" s="85">
        <v>0</v>
      </c>
      <c r="Q172" s="85">
        <v>0</v>
      </c>
      <c r="R172" s="79">
        <v>0</v>
      </c>
      <c r="S172" s="79">
        <v>0</v>
      </c>
      <c r="T172" s="82">
        <v>0</v>
      </c>
      <c r="U172" s="82">
        <v>3.03</v>
      </c>
      <c r="V172" s="83">
        <v>0</v>
      </c>
      <c r="W172" s="104">
        <f>T172+U172+V172</f>
        <v>3.03</v>
      </c>
      <c r="X172" s="637"/>
      <c r="Y172" s="15"/>
      <c r="Z172" s="46"/>
    </row>
    <row r="173" spans="1:26" s="25" customFormat="1" ht="15.75">
      <c r="A173" s="129" t="s">
        <v>376</v>
      </c>
      <c r="B173" s="130" t="s">
        <v>377</v>
      </c>
      <c r="C173" s="131"/>
      <c r="D173" s="131"/>
      <c r="E173" s="131"/>
      <c r="F173" s="131"/>
      <c r="G173" s="131">
        <v>2015</v>
      </c>
      <c r="H173" s="131">
        <v>2016</v>
      </c>
      <c r="I173" s="28">
        <v>28.23</v>
      </c>
      <c r="J173" s="28">
        <v>7.98</v>
      </c>
      <c r="K173" s="53">
        <v>7.98</v>
      </c>
      <c r="L173" s="131"/>
      <c r="M173" s="131"/>
      <c r="N173" s="132"/>
      <c r="O173" s="132"/>
      <c r="P173" s="132"/>
      <c r="Q173" s="132"/>
      <c r="R173" s="131"/>
      <c r="S173" s="28">
        <v>0</v>
      </c>
      <c r="T173" s="28">
        <v>0</v>
      </c>
      <c r="U173" s="28">
        <v>20.25</v>
      </c>
      <c r="V173" s="28">
        <v>7.98</v>
      </c>
      <c r="W173" s="29">
        <v>28.23</v>
      </c>
      <c r="X173" s="637"/>
      <c r="Y173" s="15"/>
      <c r="Z173" s="46"/>
    </row>
    <row r="174" spans="1:24" s="3" customFormat="1" ht="15.75">
      <c r="A174" s="659" t="s">
        <v>381</v>
      </c>
      <c r="B174" s="659"/>
      <c r="C174" s="133"/>
      <c r="D174" s="133"/>
      <c r="E174" s="133"/>
      <c r="F174" s="133"/>
      <c r="G174" s="133"/>
      <c r="H174" s="133"/>
      <c r="I174" s="134"/>
      <c r="J174" s="135"/>
      <c r="K174" s="136"/>
      <c r="L174" s="107"/>
      <c r="M174" s="107"/>
      <c r="N174" s="107"/>
      <c r="O174" s="107"/>
      <c r="P174" s="107"/>
      <c r="Q174" s="107"/>
      <c r="R174" s="107"/>
      <c r="S174" s="107"/>
      <c r="T174" s="137"/>
      <c r="U174" s="137"/>
      <c r="V174" s="137"/>
      <c r="W174" s="96"/>
      <c r="X174" s="15"/>
    </row>
    <row r="175" spans="1:24" ht="31.5">
      <c r="A175" s="101"/>
      <c r="B175" s="102" t="s">
        <v>382</v>
      </c>
      <c r="C175" s="138"/>
      <c r="D175" s="138"/>
      <c r="E175" s="138"/>
      <c r="F175" s="138"/>
      <c r="G175" s="138"/>
      <c r="H175" s="138"/>
      <c r="I175" s="138"/>
      <c r="J175" s="139"/>
      <c r="K175" s="103"/>
      <c r="L175" s="109"/>
      <c r="M175" s="109"/>
      <c r="N175" s="109"/>
      <c r="O175" s="109"/>
      <c r="P175" s="109"/>
      <c r="Q175" s="109"/>
      <c r="R175" s="109"/>
      <c r="S175" s="109"/>
      <c r="T175" s="80"/>
      <c r="U175" s="80"/>
      <c r="V175" s="80"/>
      <c r="W175" s="86"/>
      <c r="X175" s="15"/>
    </row>
    <row r="176" spans="1:24" ht="15.75">
      <c r="A176" s="140" t="s">
        <v>383</v>
      </c>
      <c r="B176" s="141"/>
      <c r="C176" s="141"/>
      <c r="D176" s="141"/>
      <c r="E176" s="141"/>
      <c r="F176" s="141"/>
      <c r="G176" s="141"/>
      <c r="H176" s="141"/>
      <c r="I176" s="19"/>
      <c r="J176" s="142"/>
      <c r="K176" s="143"/>
      <c r="L176" s="141"/>
      <c r="M176" s="141"/>
      <c r="N176" s="141"/>
      <c r="O176" s="141"/>
      <c r="P176" s="141"/>
      <c r="Q176" s="141"/>
      <c r="R176" s="141"/>
      <c r="S176" s="141"/>
      <c r="T176" s="144"/>
      <c r="U176" s="144"/>
      <c r="V176" s="144"/>
      <c r="W176" s="145"/>
      <c r="X176" s="15"/>
    </row>
    <row r="177" spans="1:23" ht="15.75">
      <c r="A177" s="146"/>
      <c r="B177" s="147"/>
      <c r="C177" s="147"/>
      <c r="D177" s="148"/>
      <c r="E177" s="148"/>
      <c r="F177" s="148"/>
      <c r="G177" s="148"/>
      <c r="H177" s="149"/>
      <c r="I177" s="149"/>
      <c r="J177" s="149"/>
      <c r="K177" s="150"/>
      <c r="L177" s="147"/>
      <c r="M177" s="147"/>
      <c r="N177" s="147"/>
      <c r="O177" s="147"/>
      <c r="P177" s="147"/>
      <c r="Q177" s="147"/>
      <c r="R177" s="147"/>
      <c r="S177" s="147"/>
      <c r="T177" s="151"/>
      <c r="U177" s="151"/>
      <c r="V177" s="151"/>
      <c r="W177" s="152"/>
    </row>
    <row r="178" spans="1:10" ht="15.75">
      <c r="A178" s="153"/>
      <c r="B178" s="2" t="s">
        <v>384</v>
      </c>
      <c r="H178" s="154"/>
      <c r="I178" s="154"/>
      <c r="J178" s="154"/>
    </row>
    <row r="179" spans="1:10" ht="15.75">
      <c r="A179" s="155"/>
      <c r="B179" s="2" t="s">
        <v>385</v>
      </c>
      <c r="H179" s="154"/>
      <c r="I179" s="154"/>
      <c r="J179" s="154"/>
    </row>
    <row r="180" spans="1:10" ht="15.75">
      <c r="A180" s="155"/>
      <c r="B180" s="148" t="s">
        <v>386</v>
      </c>
      <c r="H180" s="154"/>
      <c r="I180" s="154"/>
      <c r="J180" s="154"/>
    </row>
    <row r="181" spans="2:23" ht="12.75" customHeight="1">
      <c r="B181" s="156" t="s">
        <v>387</v>
      </c>
      <c r="C181" s="156"/>
      <c r="D181" s="156"/>
      <c r="E181" s="157"/>
      <c r="F181" s="157"/>
      <c r="G181" s="158"/>
      <c r="H181" s="154"/>
      <c r="I181" s="154"/>
      <c r="J181" s="154"/>
      <c r="T181" s="159"/>
      <c r="U181" s="159"/>
      <c r="W181" s="160"/>
    </row>
    <row r="182" spans="2:23" ht="15.75">
      <c r="B182" s="158"/>
      <c r="C182" s="158"/>
      <c r="G182" s="158"/>
      <c r="H182" s="154"/>
      <c r="I182" s="154"/>
      <c r="J182" s="154"/>
      <c r="T182" s="159"/>
      <c r="U182" s="159"/>
      <c r="W182" s="160"/>
    </row>
    <row r="183" spans="1:10" ht="12.75" customHeight="1">
      <c r="A183" s="155"/>
      <c r="B183" s="156" t="s">
        <v>388</v>
      </c>
      <c r="C183" s="156"/>
      <c r="D183" s="156"/>
      <c r="E183" s="156"/>
      <c r="F183" s="156"/>
      <c r="G183" s="156"/>
      <c r="H183" s="154"/>
      <c r="I183" s="154"/>
      <c r="J183" s="154"/>
    </row>
  </sheetData>
  <sheetProtection selectLockedCells="1" selectUnlockedCells="1"/>
  <mergeCells count="19">
    <mergeCell ref="C15:C16"/>
    <mergeCell ref="D15:E16"/>
    <mergeCell ref="U10:W10"/>
    <mergeCell ref="U11:W11"/>
    <mergeCell ref="T15:W15"/>
    <mergeCell ref="L16:M16"/>
    <mergeCell ref="N16:O16"/>
    <mergeCell ref="P16:Q16"/>
    <mergeCell ref="R16:S16"/>
    <mergeCell ref="A174:B174"/>
    <mergeCell ref="J15:J16"/>
    <mergeCell ref="K15:K16"/>
    <mergeCell ref="L15:S15"/>
    <mergeCell ref="F15:F17"/>
    <mergeCell ref="G15:G17"/>
    <mergeCell ref="H15:H17"/>
    <mergeCell ref="I15:I16"/>
    <mergeCell ref="A15:A17"/>
    <mergeCell ref="B15:B17"/>
  </mergeCells>
  <printOptions/>
  <pageMargins left="0.7875" right="0.39375" top="0.39375" bottom="0.39375" header="0.5118055555555555" footer="0.5118055555555555"/>
  <pageSetup fitToHeight="0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J181"/>
  <sheetViews>
    <sheetView view="pageBreakPreview" zoomScale="61" zoomScaleNormal="66" zoomScaleSheetLayoutView="6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8.375" style="2" customWidth="1"/>
    <col min="2" max="2" width="36.125" style="2" customWidth="1"/>
    <col min="3" max="3" width="8.125" style="2" customWidth="1"/>
    <col min="4" max="4" width="8.625" style="2" customWidth="1"/>
    <col min="5" max="5" width="9.625" style="2" customWidth="1"/>
    <col min="6" max="6" width="8.875" style="2" customWidth="1"/>
    <col min="7" max="7" width="8.125" style="2" customWidth="1"/>
    <col min="8" max="8" width="9.00390625" style="2" customWidth="1"/>
    <col min="9" max="9" width="13.625" style="2" customWidth="1"/>
    <col min="10" max="10" width="10.00390625" style="2" customWidth="1"/>
    <col min="11" max="11" width="8.00390625" style="2" customWidth="1"/>
    <col min="12" max="12" width="8.50390625" style="2" customWidth="1"/>
    <col min="13" max="13" width="10.75390625" style="2" customWidth="1"/>
    <col min="14" max="14" width="12.00390625" style="2" customWidth="1"/>
    <col min="15" max="15" width="7.75390625" style="2" customWidth="1"/>
    <col min="16" max="16" width="8.375" style="2" customWidth="1"/>
    <col min="17" max="17" width="8.25390625" style="161" customWidth="1"/>
    <col min="18" max="18" width="7.25390625" style="161" customWidth="1"/>
    <col min="19" max="19" width="7.50390625" style="162" customWidth="1"/>
    <col min="20" max="20" width="10.25390625" style="162" customWidth="1"/>
    <col min="21" max="21" width="8.00390625" style="162" customWidth="1"/>
    <col min="22" max="23" width="8.75390625" style="2" customWidth="1"/>
    <col min="24" max="24" width="9.625" style="2" customWidth="1"/>
    <col min="25" max="25" width="8.75390625" style="2" customWidth="1"/>
    <col min="26" max="26" width="10.25390625" style="2" customWidth="1"/>
    <col min="27" max="27" width="8.75390625" style="2" customWidth="1"/>
    <col min="28" max="28" width="9.875" style="2" customWidth="1"/>
    <col min="29" max="29" width="10.50390625" style="2" customWidth="1"/>
    <col min="30" max="31" width="8.75390625" style="2" customWidth="1"/>
    <col min="32" max="32" width="15.00390625" style="2" customWidth="1"/>
    <col min="33" max="33" width="9.125" style="2" customWidth="1"/>
    <col min="34" max="34" width="8.75390625" style="2" customWidth="1"/>
    <col min="35" max="35" width="8.125" style="2" customWidth="1"/>
    <col min="36" max="16384" width="9.00390625" style="2" customWidth="1"/>
  </cols>
  <sheetData>
    <row r="2" ht="15.75">
      <c r="AI2" s="11" t="s">
        <v>389</v>
      </c>
    </row>
    <row r="3" spans="32:35" ht="16.5" customHeight="1">
      <c r="AF3" s="651" t="s">
        <v>39</v>
      </c>
      <c r="AG3" s="651"/>
      <c r="AH3" s="651"/>
      <c r="AI3" s="651"/>
    </row>
    <row r="4" spans="1:35" ht="18.75" customHeight="1">
      <c r="A4" s="1"/>
      <c r="E4" s="3"/>
      <c r="F4" s="3"/>
      <c r="G4" s="3"/>
      <c r="H4" s="3"/>
      <c r="I4" s="3"/>
      <c r="J4" s="3"/>
      <c r="S4" s="161"/>
      <c r="T4" s="161"/>
      <c r="U4" s="161"/>
      <c r="AF4" s="9"/>
      <c r="AG4" s="9"/>
      <c r="AH4" s="9"/>
      <c r="AI4" s="9" t="s">
        <v>40</v>
      </c>
    </row>
    <row r="5" spans="1:35" ht="15.75">
      <c r="A5" s="1"/>
      <c r="E5" s="3"/>
      <c r="F5" s="3"/>
      <c r="G5" s="3"/>
      <c r="H5" s="3"/>
      <c r="I5" s="3"/>
      <c r="J5" s="3"/>
      <c r="S5" s="161"/>
      <c r="T5" s="161"/>
      <c r="U5" s="161"/>
      <c r="AF5" s="9"/>
      <c r="AG5" s="9"/>
      <c r="AH5" s="9"/>
      <c r="AI5" s="9" t="s">
        <v>41</v>
      </c>
    </row>
    <row r="6" spans="1:35" ht="18.75">
      <c r="A6" s="652" t="s">
        <v>390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</row>
    <row r="7" spans="1:35" ht="18.75">
      <c r="A7" s="652" t="s">
        <v>391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</row>
    <row r="8" spans="1:22" ht="15.75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</row>
    <row r="9" spans="1:21" ht="15.75">
      <c r="A9" s="1"/>
      <c r="E9" s="3"/>
      <c r="F9" s="3"/>
      <c r="G9" s="3"/>
      <c r="H9" s="3"/>
      <c r="I9" s="3"/>
      <c r="J9" s="3"/>
      <c r="S9" s="161"/>
      <c r="T9" s="161"/>
      <c r="U9" s="161"/>
    </row>
    <row r="10" spans="1:35" ht="15.75">
      <c r="A10" s="1"/>
      <c r="E10" s="3"/>
      <c r="F10" s="3"/>
      <c r="G10" s="3"/>
      <c r="H10" s="3"/>
      <c r="I10" s="3"/>
      <c r="J10" s="3"/>
      <c r="S10" s="161"/>
      <c r="T10" s="161"/>
      <c r="U10" s="161"/>
      <c r="AI10" s="11" t="s">
        <v>43</v>
      </c>
    </row>
    <row r="11" spans="1:35" ht="15.75">
      <c r="A11" s="1"/>
      <c r="E11" s="3"/>
      <c r="F11" s="3"/>
      <c r="G11" s="3"/>
      <c r="H11" s="3"/>
      <c r="I11" s="3"/>
      <c r="J11" s="3"/>
      <c r="Q11" s="165"/>
      <c r="R11" s="2"/>
      <c r="S11" s="2"/>
      <c r="T11" s="2"/>
      <c r="U11" s="2"/>
      <c r="AI11" s="166" t="s">
        <v>44</v>
      </c>
    </row>
    <row r="12" spans="1:35" ht="15.75">
      <c r="A12" s="1"/>
      <c r="E12" s="3"/>
      <c r="F12" s="3"/>
      <c r="G12" s="3"/>
      <c r="H12" s="3"/>
      <c r="I12" s="3"/>
      <c r="J12" s="3"/>
      <c r="Q12" s="165"/>
      <c r="R12" s="2"/>
      <c r="S12" s="2"/>
      <c r="T12" s="2"/>
      <c r="U12" s="2"/>
      <c r="AG12" s="653" t="s">
        <v>45</v>
      </c>
      <c r="AH12" s="653"/>
      <c r="AI12" s="653"/>
    </row>
    <row r="13" spans="1:35" ht="18" customHeight="1">
      <c r="A13" s="1"/>
      <c r="E13" s="3"/>
      <c r="F13" s="3"/>
      <c r="G13" s="3"/>
      <c r="H13" s="3"/>
      <c r="I13" s="3"/>
      <c r="J13" s="3"/>
      <c r="Q13" s="165"/>
      <c r="R13" s="2"/>
      <c r="S13" s="2"/>
      <c r="T13" s="2"/>
      <c r="U13" s="2"/>
      <c r="AF13" s="673" t="s">
        <v>46</v>
      </c>
      <c r="AG13" s="673"/>
      <c r="AH13" s="673"/>
      <c r="AI13" s="673"/>
    </row>
    <row r="14" spans="1:35" ht="15.75">
      <c r="A14" s="1"/>
      <c r="E14" s="3"/>
      <c r="F14" s="3"/>
      <c r="G14" s="3"/>
      <c r="H14" s="3"/>
      <c r="I14" s="3"/>
      <c r="J14" s="3"/>
      <c r="Q14" s="165" t="s">
        <v>37</v>
      </c>
      <c r="R14" s="2"/>
      <c r="S14" s="2"/>
      <c r="T14" s="2"/>
      <c r="U14" s="2"/>
      <c r="AG14" s="674"/>
      <c r="AH14" s="674"/>
      <c r="AI14" s="674"/>
    </row>
    <row r="15" spans="1:35" ht="15.75">
      <c r="A15" s="1"/>
      <c r="C15" s="168"/>
      <c r="D15" s="168"/>
      <c r="E15" s="169"/>
      <c r="F15" s="169"/>
      <c r="G15" s="169"/>
      <c r="H15" s="169"/>
      <c r="I15" s="169"/>
      <c r="J15" s="169"/>
      <c r="K15" s="168"/>
      <c r="L15" s="168"/>
      <c r="M15" s="168"/>
      <c r="N15" s="168"/>
      <c r="O15" s="168"/>
      <c r="P15" s="168"/>
      <c r="S15" s="161"/>
      <c r="T15" s="161"/>
      <c r="U15" s="161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70" t="s">
        <v>47</v>
      </c>
    </row>
    <row r="16" spans="1:35" ht="15.75" customHeight="1">
      <c r="A16" s="675" t="s">
        <v>48</v>
      </c>
      <c r="B16" s="676" t="s">
        <v>49</v>
      </c>
      <c r="C16" s="677" t="s">
        <v>392</v>
      </c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6" t="s">
        <v>393</v>
      </c>
      <c r="R16" s="676"/>
      <c r="S16" s="676"/>
      <c r="T16" s="676"/>
      <c r="U16" s="676"/>
      <c r="V16" s="650" t="s">
        <v>394</v>
      </c>
      <c r="W16" s="650"/>
      <c r="X16" s="650"/>
      <c r="Y16" s="650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</row>
    <row r="17" spans="1:35" ht="21" customHeight="1">
      <c r="A17" s="675"/>
      <c r="B17" s="676"/>
      <c r="C17" s="671" t="s">
        <v>395</v>
      </c>
      <c r="D17" s="671"/>
      <c r="E17" s="671"/>
      <c r="F17" s="671"/>
      <c r="G17" s="672" t="s">
        <v>396</v>
      </c>
      <c r="H17" s="672"/>
      <c r="I17" s="672"/>
      <c r="J17" s="672"/>
      <c r="K17" s="672" t="s">
        <v>397</v>
      </c>
      <c r="L17" s="672"/>
      <c r="M17" s="672"/>
      <c r="N17" s="672"/>
      <c r="O17" s="672"/>
      <c r="P17" s="670" t="s">
        <v>398</v>
      </c>
      <c r="Q17" s="676"/>
      <c r="R17" s="676"/>
      <c r="S17" s="676"/>
      <c r="T17" s="676"/>
      <c r="U17" s="676"/>
      <c r="V17" s="671" t="s">
        <v>395</v>
      </c>
      <c r="W17" s="671"/>
      <c r="X17" s="671"/>
      <c r="Y17" s="671"/>
      <c r="Z17" s="672" t="s">
        <v>396</v>
      </c>
      <c r="AA17" s="672"/>
      <c r="AB17" s="672"/>
      <c r="AC17" s="672"/>
      <c r="AD17" s="672" t="s">
        <v>397</v>
      </c>
      <c r="AE17" s="672"/>
      <c r="AF17" s="672"/>
      <c r="AG17" s="672"/>
      <c r="AH17" s="672"/>
      <c r="AI17" s="667" t="s">
        <v>399</v>
      </c>
    </row>
    <row r="18" spans="1:35" ht="96.75" customHeight="1">
      <c r="A18" s="675"/>
      <c r="B18" s="176" t="s">
        <v>71</v>
      </c>
      <c r="C18" s="174" t="s">
        <v>400</v>
      </c>
      <c r="D18" s="177" t="s">
        <v>401</v>
      </c>
      <c r="E18" s="178" t="s">
        <v>402</v>
      </c>
      <c r="F18" s="178" t="s">
        <v>403</v>
      </c>
      <c r="G18" s="174" t="s">
        <v>400</v>
      </c>
      <c r="H18" s="177" t="s">
        <v>401</v>
      </c>
      <c r="I18" s="177" t="s">
        <v>404</v>
      </c>
      <c r="J18" s="177" t="s">
        <v>405</v>
      </c>
      <c r="K18" s="174" t="s">
        <v>406</v>
      </c>
      <c r="L18" s="177" t="s">
        <v>401</v>
      </c>
      <c r="M18" s="174" t="s">
        <v>407</v>
      </c>
      <c r="N18" s="174" t="s">
        <v>408</v>
      </c>
      <c r="O18" s="177" t="s">
        <v>409</v>
      </c>
      <c r="P18" s="670"/>
      <c r="Q18" s="178" t="s">
        <v>410</v>
      </c>
      <c r="R18" s="178" t="s">
        <v>411</v>
      </c>
      <c r="S18" s="178" t="s">
        <v>412</v>
      </c>
      <c r="T18" s="178" t="s">
        <v>413</v>
      </c>
      <c r="U18" s="178" t="s">
        <v>414</v>
      </c>
      <c r="V18" s="174" t="s">
        <v>400</v>
      </c>
      <c r="W18" s="177" t="s">
        <v>415</v>
      </c>
      <c r="X18" s="178" t="s">
        <v>402</v>
      </c>
      <c r="Y18" s="178" t="s">
        <v>416</v>
      </c>
      <c r="Z18" s="174" t="s">
        <v>400</v>
      </c>
      <c r="AA18" s="177" t="s">
        <v>401</v>
      </c>
      <c r="AB18" s="177" t="s">
        <v>404</v>
      </c>
      <c r="AC18" s="177" t="s">
        <v>405</v>
      </c>
      <c r="AD18" s="174" t="s">
        <v>406</v>
      </c>
      <c r="AE18" s="177" t="s">
        <v>401</v>
      </c>
      <c r="AF18" s="174" t="s">
        <v>407</v>
      </c>
      <c r="AG18" s="174" t="s">
        <v>408</v>
      </c>
      <c r="AH18" s="177" t="s">
        <v>409</v>
      </c>
      <c r="AI18" s="667"/>
    </row>
    <row r="19" spans="1:36" ht="27.75" customHeight="1">
      <c r="A19" s="179"/>
      <c r="B19" s="180" t="s">
        <v>71</v>
      </c>
      <c r="C19" s="174"/>
      <c r="D19" s="177"/>
      <c r="E19" s="178"/>
      <c r="F19" s="178"/>
      <c r="G19" s="174"/>
      <c r="H19" s="177"/>
      <c r="I19" s="181">
        <f>I20+I145+I173</f>
        <v>142</v>
      </c>
      <c r="J19" s="181">
        <f>J20+J145+J173</f>
        <v>252.92000000000004</v>
      </c>
      <c r="K19" s="174"/>
      <c r="L19" s="177"/>
      <c r="M19" s="174"/>
      <c r="N19" s="174"/>
      <c r="O19" s="181">
        <f>O20+O145+O173</f>
        <v>136.98000000000002</v>
      </c>
      <c r="P19" s="174"/>
      <c r="Q19" s="181">
        <f>Q20+Q145+Q173</f>
        <v>351.52799999999985</v>
      </c>
      <c r="R19" s="181">
        <f>R20+R145+R173</f>
        <v>2.7299999999999995</v>
      </c>
      <c r="S19" s="181">
        <f>S20+S145+S173</f>
        <v>144.55799999999994</v>
      </c>
      <c r="T19" s="181">
        <f>T20+T145+T173</f>
        <v>176.32999999999993</v>
      </c>
      <c r="U19" s="181">
        <f>U20+U145+U173</f>
        <v>27.90999999999999</v>
      </c>
      <c r="V19" s="182" t="s">
        <v>37</v>
      </c>
      <c r="W19" s="177"/>
      <c r="X19" s="178"/>
      <c r="Y19" s="178"/>
      <c r="Z19" s="174"/>
      <c r="AA19" s="177"/>
      <c r="AB19" s="181">
        <f>AB20+AB145+AB173</f>
        <v>141</v>
      </c>
      <c r="AC19" s="181">
        <f>AC20+AC145+AC173</f>
        <v>265.1</v>
      </c>
      <c r="AD19" s="174"/>
      <c r="AE19" s="177"/>
      <c r="AF19" s="174"/>
      <c r="AG19" s="174"/>
      <c r="AH19" s="181">
        <f>AH20+AH145+AH173</f>
        <v>150.60000000000002</v>
      </c>
      <c r="AI19" s="175"/>
      <c r="AJ19" s="183"/>
    </row>
    <row r="20" spans="1:36" ht="35.25" customHeight="1">
      <c r="A20" s="171">
        <v>1</v>
      </c>
      <c r="B20" s="184" t="s">
        <v>73</v>
      </c>
      <c r="C20" s="184"/>
      <c r="D20" s="184"/>
      <c r="E20" s="184"/>
      <c r="F20" s="184"/>
      <c r="G20" s="185"/>
      <c r="H20" s="185"/>
      <c r="I20" s="186">
        <f>I21</f>
        <v>142</v>
      </c>
      <c r="J20" s="186">
        <f>J21</f>
        <v>252.92000000000004</v>
      </c>
      <c r="K20" s="185"/>
      <c r="L20" s="185"/>
      <c r="M20" s="185"/>
      <c r="N20" s="185"/>
      <c r="O20" s="186">
        <f>O21</f>
        <v>136.98000000000002</v>
      </c>
      <c r="P20" s="185"/>
      <c r="Q20" s="186">
        <f>Q21</f>
        <v>295.8439999999998</v>
      </c>
      <c r="R20" s="186">
        <f>R21</f>
        <v>0</v>
      </c>
      <c r="S20" s="186">
        <f>S21</f>
        <v>122.58399999999992</v>
      </c>
      <c r="T20" s="186">
        <f>T21</f>
        <v>145.59999999999994</v>
      </c>
      <c r="U20" s="186">
        <f>U21</f>
        <v>27.65999999999999</v>
      </c>
      <c r="V20" s="185"/>
      <c r="W20" s="185"/>
      <c r="X20" s="185"/>
      <c r="Y20" s="185"/>
      <c r="Z20" s="185"/>
      <c r="AA20" s="185"/>
      <c r="AB20" s="186">
        <f>AB21</f>
        <v>141</v>
      </c>
      <c r="AC20" s="186">
        <f>AC21</f>
        <v>263.1</v>
      </c>
      <c r="AD20" s="185"/>
      <c r="AE20" s="185"/>
      <c r="AF20" s="185"/>
      <c r="AG20" s="185"/>
      <c r="AH20" s="186">
        <f>AH21</f>
        <v>136.98000000000002</v>
      </c>
      <c r="AI20" s="187"/>
      <c r="AJ20" s="183"/>
    </row>
    <row r="21" spans="1:36" s="100" customFormat="1" ht="35.25" customHeight="1">
      <c r="A21" s="188" t="s">
        <v>74</v>
      </c>
      <c r="B21" s="189" t="s">
        <v>75</v>
      </c>
      <c r="C21" s="190"/>
      <c r="D21" s="190"/>
      <c r="E21" s="190"/>
      <c r="F21" s="190"/>
      <c r="G21" s="191"/>
      <c r="H21" s="191"/>
      <c r="I21" s="189">
        <f>SUM(I22:I139)</f>
        <v>142</v>
      </c>
      <c r="J21" s="189">
        <f>SUM(J22:J139)</f>
        <v>252.92000000000004</v>
      </c>
      <c r="K21" s="191"/>
      <c r="L21" s="191"/>
      <c r="M21" s="191"/>
      <c r="N21" s="192"/>
      <c r="O21" s="189">
        <f>SUM(O22:O139)</f>
        <v>136.98000000000002</v>
      </c>
      <c r="P21" s="191" t="s">
        <v>37</v>
      </c>
      <c r="Q21" s="193">
        <f>R21+S21+T21+U21</f>
        <v>295.8439999999998</v>
      </c>
      <c r="R21" s="189">
        <f>SUM(R22:R139)</f>
        <v>0</v>
      </c>
      <c r="S21" s="194">
        <f>SUM(S22:S139)</f>
        <v>122.58399999999992</v>
      </c>
      <c r="T21" s="194">
        <f>SUM(T22:T139)</f>
        <v>145.59999999999994</v>
      </c>
      <c r="U21" s="189">
        <f>SUM(U22:U139)</f>
        <v>27.65999999999999</v>
      </c>
      <c r="V21" s="191"/>
      <c r="W21" s="191"/>
      <c r="X21" s="191"/>
      <c r="Y21" s="191"/>
      <c r="Z21" s="191"/>
      <c r="AA21" s="191"/>
      <c r="AB21" s="194">
        <f>SUM(AB22:AB139)</f>
        <v>141</v>
      </c>
      <c r="AC21" s="194">
        <f>SUM(AC22:AC139)</f>
        <v>263.1</v>
      </c>
      <c r="AD21" s="191"/>
      <c r="AE21" s="191"/>
      <c r="AF21" s="191"/>
      <c r="AG21" s="191"/>
      <c r="AH21" s="194">
        <f>SUM(AH22:AH139)</f>
        <v>136.98000000000002</v>
      </c>
      <c r="AI21" s="195"/>
      <c r="AJ21" s="183"/>
    </row>
    <row r="22" spans="1:36" s="4" customFormat="1" ht="67.5" customHeight="1">
      <c r="A22" s="34" t="s">
        <v>76</v>
      </c>
      <c r="B22" s="196" t="s">
        <v>417</v>
      </c>
      <c r="C22" s="197"/>
      <c r="D22" s="197"/>
      <c r="E22" s="197"/>
      <c r="F22" s="197"/>
      <c r="G22" s="198"/>
      <c r="H22" s="198"/>
      <c r="I22" s="198"/>
      <c r="J22" s="199"/>
      <c r="K22" s="198">
        <v>1981</v>
      </c>
      <c r="L22" s="198">
        <v>30</v>
      </c>
      <c r="M22" s="198" t="s">
        <v>418</v>
      </c>
      <c r="N22" s="198" t="s">
        <v>419</v>
      </c>
      <c r="O22" s="200">
        <v>50.5</v>
      </c>
      <c r="P22" s="198"/>
      <c r="Q22" s="201">
        <f>'приложение 1.1'!I21</f>
        <v>26.21826</v>
      </c>
      <c r="R22" s="202">
        <v>0</v>
      </c>
      <c r="S22" s="202">
        <f aca="true" t="shared" si="0" ref="S22:S139">Q22-R22-T22-U22</f>
        <v>17.48826</v>
      </c>
      <c r="T22" s="203">
        <v>8.68</v>
      </c>
      <c r="U22" s="203">
        <v>0.05</v>
      </c>
      <c r="V22" s="204"/>
      <c r="W22" s="204"/>
      <c r="X22" s="204"/>
      <c r="Y22" s="204"/>
      <c r="Z22" s="198"/>
      <c r="AA22" s="198"/>
      <c r="AB22" s="198"/>
      <c r="AC22" s="199"/>
      <c r="AD22" s="198">
        <v>2014</v>
      </c>
      <c r="AE22" s="198">
        <v>30</v>
      </c>
      <c r="AF22" s="198" t="s">
        <v>418</v>
      </c>
      <c r="AG22" s="198" t="s">
        <v>419</v>
      </c>
      <c r="AH22" s="200">
        <v>50.5</v>
      </c>
      <c r="AI22" s="205"/>
      <c r="AJ22" s="183"/>
    </row>
    <row r="23" spans="1:36" s="4" customFormat="1" ht="60" customHeight="1">
      <c r="A23" s="48" t="s">
        <v>79</v>
      </c>
      <c r="B23" s="206" t="s">
        <v>80</v>
      </c>
      <c r="C23" s="207"/>
      <c r="D23" s="207"/>
      <c r="E23" s="207"/>
      <c r="F23" s="207"/>
      <c r="G23" s="208"/>
      <c r="H23" s="208"/>
      <c r="I23" s="208"/>
      <c r="J23" s="209"/>
      <c r="K23" s="208">
        <v>1985</v>
      </c>
      <c r="L23" s="208">
        <v>30</v>
      </c>
      <c r="M23" s="208" t="s">
        <v>418</v>
      </c>
      <c r="N23" s="208" t="s">
        <v>419</v>
      </c>
      <c r="O23" s="210">
        <v>18.7</v>
      </c>
      <c r="P23" s="208"/>
      <c r="Q23" s="211">
        <f>'приложение 1.1'!I22</f>
        <v>6.4346</v>
      </c>
      <c r="R23" s="212">
        <v>0</v>
      </c>
      <c r="S23" s="212">
        <f t="shared" si="0"/>
        <v>3.5545999999999998</v>
      </c>
      <c r="T23" s="213">
        <v>2.88</v>
      </c>
      <c r="U23" s="213">
        <f>ROUND(1845/1000000,2)</f>
        <v>0</v>
      </c>
      <c r="V23" s="214"/>
      <c r="W23" s="214"/>
      <c r="X23" s="214"/>
      <c r="Y23" s="214"/>
      <c r="Z23" s="208"/>
      <c r="AA23" s="208"/>
      <c r="AB23" s="208"/>
      <c r="AC23" s="209"/>
      <c r="AD23" s="208">
        <v>2014</v>
      </c>
      <c r="AE23" s="208">
        <v>30</v>
      </c>
      <c r="AF23" s="208" t="s">
        <v>418</v>
      </c>
      <c r="AG23" s="208" t="s">
        <v>419</v>
      </c>
      <c r="AH23" s="210">
        <v>18.7</v>
      </c>
      <c r="AI23" s="215"/>
      <c r="AJ23" s="183"/>
    </row>
    <row r="24" spans="1:36" s="4" customFormat="1" ht="60" customHeight="1">
      <c r="A24" s="48" t="s">
        <v>81</v>
      </c>
      <c r="B24" s="57" t="s">
        <v>82</v>
      </c>
      <c r="C24" s="207"/>
      <c r="D24" s="207"/>
      <c r="E24" s="207"/>
      <c r="F24" s="207"/>
      <c r="G24" s="208"/>
      <c r="H24" s="208"/>
      <c r="I24" s="208"/>
      <c r="J24" s="209"/>
      <c r="K24" s="208">
        <v>1991</v>
      </c>
      <c r="L24" s="208">
        <v>30</v>
      </c>
      <c r="M24" s="208" t="s">
        <v>418</v>
      </c>
      <c r="N24" s="208" t="s">
        <v>419</v>
      </c>
      <c r="O24" s="209">
        <v>12.5</v>
      </c>
      <c r="P24" s="208"/>
      <c r="Q24" s="211">
        <v>3.93</v>
      </c>
      <c r="R24" s="212">
        <v>0</v>
      </c>
      <c r="S24" s="212">
        <f t="shared" si="0"/>
        <v>2.2300000000000004</v>
      </c>
      <c r="T24" s="213">
        <v>1.7</v>
      </c>
      <c r="U24" s="213">
        <v>0</v>
      </c>
      <c r="V24" s="214"/>
      <c r="W24" s="214"/>
      <c r="X24" s="214"/>
      <c r="Y24" s="214"/>
      <c r="Z24" s="208"/>
      <c r="AA24" s="208"/>
      <c r="AB24" s="208"/>
      <c r="AC24" s="209"/>
      <c r="AD24" s="216">
        <v>2014</v>
      </c>
      <c r="AE24" s="208">
        <v>30</v>
      </c>
      <c r="AF24" s="216" t="s">
        <v>418</v>
      </c>
      <c r="AG24" s="216" t="s">
        <v>419</v>
      </c>
      <c r="AH24" s="36">
        <v>12.5</v>
      </c>
      <c r="AI24" s="215"/>
      <c r="AJ24" s="183"/>
    </row>
    <row r="25" spans="1:36" s="4" customFormat="1" ht="60" customHeight="1">
      <c r="A25" s="48" t="s">
        <v>83</v>
      </c>
      <c r="B25" s="58" t="s">
        <v>84</v>
      </c>
      <c r="C25" s="207"/>
      <c r="D25" s="207"/>
      <c r="E25" s="207"/>
      <c r="F25" s="207"/>
      <c r="G25" s="208"/>
      <c r="H25" s="208"/>
      <c r="I25" s="208"/>
      <c r="J25" s="209"/>
      <c r="K25" s="208">
        <v>1986</v>
      </c>
      <c r="L25" s="208">
        <v>30</v>
      </c>
      <c r="M25" s="208"/>
      <c r="N25" s="208" t="s">
        <v>420</v>
      </c>
      <c r="O25" s="36">
        <v>1.52</v>
      </c>
      <c r="P25" s="208"/>
      <c r="Q25" s="211">
        <f>'приложение 1.1'!I24</f>
        <v>0.81</v>
      </c>
      <c r="R25" s="212">
        <v>0</v>
      </c>
      <c r="S25" s="108">
        <f t="shared" si="0"/>
        <v>0.53</v>
      </c>
      <c r="T25" s="217">
        <f>ROUND(56405/1000000*4.91,2)</f>
        <v>0.28</v>
      </c>
      <c r="U25" s="217">
        <v>0</v>
      </c>
      <c r="V25" s="214"/>
      <c r="W25" s="214"/>
      <c r="X25" s="214"/>
      <c r="Y25" s="214"/>
      <c r="Z25" s="208"/>
      <c r="AA25" s="208"/>
      <c r="AB25" s="208"/>
      <c r="AC25" s="209"/>
      <c r="AD25" s="216">
        <v>2014</v>
      </c>
      <c r="AE25" s="208">
        <v>30</v>
      </c>
      <c r="AF25" s="216"/>
      <c r="AG25" s="216" t="s">
        <v>421</v>
      </c>
      <c r="AH25" s="36">
        <v>1.52</v>
      </c>
      <c r="AI25" s="215"/>
      <c r="AJ25" s="183"/>
    </row>
    <row r="26" spans="1:36" s="4" customFormat="1" ht="60" customHeight="1">
      <c r="A26" s="48" t="s">
        <v>85</v>
      </c>
      <c r="B26" s="58" t="s">
        <v>86</v>
      </c>
      <c r="C26" s="207"/>
      <c r="D26" s="207"/>
      <c r="E26" s="207"/>
      <c r="F26" s="207"/>
      <c r="G26" s="208"/>
      <c r="H26" s="208"/>
      <c r="I26" s="208"/>
      <c r="J26" s="209"/>
      <c r="K26" s="208">
        <v>1986</v>
      </c>
      <c r="L26" s="208">
        <v>30</v>
      </c>
      <c r="M26" s="208"/>
      <c r="N26" s="208" t="s">
        <v>422</v>
      </c>
      <c r="O26" s="36">
        <v>0.56</v>
      </c>
      <c r="P26" s="208"/>
      <c r="Q26" s="211">
        <f>'приложение 1.1'!I25</f>
        <v>0.315</v>
      </c>
      <c r="R26" s="212">
        <v>0</v>
      </c>
      <c r="S26" s="108">
        <f t="shared" si="0"/>
        <v>0.235</v>
      </c>
      <c r="T26" s="217">
        <f>ROUND(16633/1000000*4.91,2)</f>
        <v>0.08</v>
      </c>
      <c r="U26" s="107">
        <v>0</v>
      </c>
      <c r="V26" s="214"/>
      <c r="W26" s="214"/>
      <c r="X26" s="214"/>
      <c r="Y26" s="214"/>
      <c r="Z26" s="208"/>
      <c r="AA26" s="208"/>
      <c r="AB26" s="208"/>
      <c r="AC26" s="209"/>
      <c r="AD26" s="216">
        <v>2014</v>
      </c>
      <c r="AE26" s="208">
        <v>30</v>
      </c>
      <c r="AF26" s="216"/>
      <c r="AG26" s="216" t="s">
        <v>421</v>
      </c>
      <c r="AH26" s="36">
        <v>0.56</v>
      </c>
      <c r="AI26" s="215"/>
      <c r="AJ26" s="183"/>
    </row>
    <row r="27" spans="1:36" s="4" customFormat="1" ht="60" customHeight="1">
      <c r="A27" s="48" t="s">
        <v>87</v>
      </c>
      <c r="B27" s="49" t="s">
        <v>88</v>
      </c>
      <c r="C27" s="207"/>
      <c r="D27" s="207"/>
      <c r="E27" s="207"/>
      <c r="F27" s="207"/>
      <c r="G27" s="208"/>
      <c r="H27" s="208"/>
      <c r="I27" s="208"/>
      <c r="J27" s="209"/>
      <c r="K27" s="208">
        <v>1988</v>
      </c>
      <c r="L27" s="208">
        <v>30</v>
      </c>
      <c r="M27" s="208"/>
      <c r="N27" s="208" t="s">
        <v>423</v>
      </c>
      <c r="O27" s="210">
        <v>0.34</v>
      </c>
      <c r="P27" s="208"/>
      <c r="Q27" s="211">
        <f>'приложение 1.1'!I26</f>
        <v>0.27</v>
      </c>
      <c r="R27" s="212">
        <v>0</v>
      </c>
      <c r="S27" s="108">
        <f t="shared" si="0"/>
        <v>0.2</v>
      </c>
      <c r="T27" s="217">
        <f>ROUND(14432/1000000*4.91,2)</f>
        <v>0.07</v>
      </c>
      <c r="U27" s="107">
        <v>0</v>
      </c>
      <c r="V27" s="214"/>
      <c r="W27" s="214"/>
      <c r="X27" s="214"/>
      <c r="Y27" s="214"/>
      <c r="Z27" s="208"/>
      <c r="AA27" s="208"/>
      <c r="AB27" s="208"/>
      <c r="AC27" s="209"/>
      <c r="AD27" s="216">
        <v>2014</v>
      </c>
      <c r="AE27" s="208">
        <v>30</v>
      </c>
      <c r="AF27" s="216"/>
      <c r="AG27" s="216" t="s">
        <v>421</v>
      </c>
      <c r="AH27" s="36">
        <v>0.34</v>
      </c>
      <c r="AI27" s="215"/>
      <c r="AJ27" s="183"/>
    </row>
    <row r="28" spans="1:36" s="4" customFormat="1" ht="60" customHeight="1">
      <c r="A28" s="48" t="s">
        <v>89</v>
      </c>
      <c r="B28" s="60" t="s">
        <v>90</v>
      </c>
      <c r="C28" s="207"/>
      <c r="D28" s="207"/>
      <c r="E28" s="207"/>
      <c r="F28" s="207"/>
      <c r="G28" s="208">
        <v>1989</v>
      </c>
      <c r="H28" s="208">
        <v>25</v>
      </c>
      <c r="I28" s="208">
        <v>1</v>
      </c>
      <c r="J28" s="210">
        <v>0.4</v>
      </c>
      <c r="K28" s="208"/>
      <c r="L28" s="208"/>
      <c r="M28" s="208"/>
      <c r="N28" s="208"/>
      <c r="O28" s="210"/>
      <c r="P28" s="208"/>
      <c r="Q28" s="211">
        <f>'приложение 1.1'!I27</f>
        <v>0.59</v>
      </c>
      <c r="R28" s="212">
        <v>0</v>
      </c>
      <c r="S28" s="108">
        <f t="shared" si="0"/>
        <v>0.12999999999999998</v>
      </c>
      <c r="T28" s="217">
        <f>ROUND(90430/1000000*4.91,2)</f>
        <v>0.44</v>
      </c>
      <c r="U28" s="217">
        <f>ROUND(4227/1000000*4.91,2)</f>
        <v>0.02</v>
      </c>
      <c r="V28" s="214"/>
      <c r="W28" s="214"/>
      <c r="X28" s="214"/>
      <c r="Y28" s="214"/>
      <c r="Z28" s="208">
        <v>2014</v>
      </c>
      <c r="AA28" s="208">
        <v>25</v>
      </c>
      <c r="AB28" s="208">
        <v>1</v>
      </c>
      <c r="AC28" s="210">
        <v>0.4</v>
      </c>
      <c r="AD28" s="208"/>
      <c r="AE28" s="208"/>
      <c r="AF28" s="208"/>
      <c r="AG28" s="208"/>
      <c r="AH28" s="210"/>
      <c r="AI28" s="215"/>
      <c r="AJ28" s="183"/>
    </row>
    <row r="29" spans="1:36" s="4" customFormat="1" ht="60" customHeight="1">
      <c r="A29" s="48" t="s">
        <v>91</v>
      </c>
      <c r="B29" s="58" t="s">
        <v>92</v>
      </c>
      <c r="C29" s="207"/>
      <c r="D29" s="207"/>
      <c r="E29" s="207"/>
      <c r="F29" s="207"/>
      <c r="G29" s="208"/>
      <c r="H29" s="208"/>
      <c r="I29" s="208"/>
      <c r="J29" s="209"/>
      <c r="K29" s="208">
        <v>1984</v>
      </c>
      <c r="L29" s="208">
        <v>30</v>
      </c>
      <c r="M29" s="208"/>
      <c r="N29" s="208" t="s">
        <v>424</v>
      </c>
      <c r="O29" s="210">
        <v>0.7</v>
      </c>
      <c r="P29" s="208"/>
      <c r="Q29" s="211">
        <f>'приложение 1.1'!I28</f>
        <v>1.75</v>
      </c>
      <c r="R29" s="212">
        <v>0</v>
      </c>
      <c r="S29" s="108">
        <f t="shared" si="0"/>
        <v>0.77</v>
      </c>
      <c r="T29" s="217">
        <f>ROUND(195798/1000000*4.91,2)</f>
        <v>0.96</v>
      </c>
      <c r="U29" s="217">
        <f>ROUND(3705/1000000*4.91,2)</f>
        <v>0.02</v>
      </c>
      <c r="V29" s="214"/>
      <c r="W29" s="214"/>
      <c r="X29" s="214"/>
      <c r="Y29" s="214"/>
      <c r="Z29" s="208"/>
      <c r="AA29" s="208"/>
      <c r="AB29" s="208"/>
      <c r="AC29" s="209"/>
      <c r="AD29" s="216">
        <v>2014</v>
      </c>
      <c r="AE29" s="208">
        <v>30</v>
      </c>
      <c r="AF29" s="216"/>
      <c r="AG29" s="216" t="s">
        <v>425</v>
      </c>
      <c r="AH29" s="36">
        <v>0.7</v>
      </c>
      <c r="AI29" s="215"/>
      <c r="AJ29" s="183"/>
    </row>
    <row r="30" spans="1:36" s="4" customFormat="1" ht="60" customHeight="1">
      <c r="A30" s="48" t="s">
        <v>93</v>
      </c>
      <c r="B30" s="61" t="s">
        <v>94</v>
      </c>
      <c r="C30" s="207"/>
      <c r="D30" s="207"/>
      <c r="E30" s="207"/>
      <c r="F30" s="207"/>
      <c r="G30" s="208">
        <v>1989</v>
      </c>
      <c r="H30" s="208">
        <v>25</v>
      </c>
      <c r="I30" s="208">
        <v>2</v>
      </c>
      <c r="J30" s="210">
        <v>2</v>
      </c>
      <c r="K30" s="208"/>
      <c r="L30" s="208"/>
      <c r="M30" s="208"/>
      <c r="N30" s="208"/>
      <c r="O30" s="210"/>
      <c r="P30" s="208"/>
      <c r="Q30" s="211">
        <f>'приложение 1.1'!I29</f>
        <v>1.89</v>
      </c>
      <c r="R30" s="212">
        <v>0</v>
      </c>
      <c r="S30" s="108">
        <f t="shared" si="0"/>
        <v>0.4699999999999999</v>
      </c>
      <c r="T30" s="217">
        <v>1.22</v>
      </c>
      <c r="U30" s="217">
        <f>ROUND(41291/1000000*4.91,2)</f>
        <v>0.2</v>
      </c>
      <c r="V30" s="214"/>
      <c r="W30" s="214"/>
      <c r="X30" s="214"/>
      <c r="Y30" s="214"/>
      <c r="Z30" s="208">
        <v>2014</v>
      </c>
      <c r="AA30" s="208">
        <v>25</v>
      </c>
      <c r="AB30" s="208">
        <v>2</v>
      </c>
      <c r="AC30" s="210">
        <v>2</v>
      </c>
      <c r="AD30" s="208"/>
      <c r="AE30" s="208"/>
      <c r="AF30" s="208"/>
      <c r="AG30" s="208"/>
      <c r="AH30" s="210"/>
      <c r="AI30" s="215"/>
      <c r="AJ30" s="183"/>
    </row>
    <row r="31" spans="1:36" s="4" customFormat="1" ht="60" customHeight="1">
      <c r="A31" s="48" t="s">
        <v>95</v>
      </c>
      <c r="B31" s="61" t="s">
        <v>96</v>
      </c>
      <c r="C31" s="207"/>
      <c r="D31" s="207"/>
      <c r="E31" s="207"/>
      <c r="F31" s="207"/>
      <c r="G31" s="218">
        <v>1991</v>
      </c>
      <c r="H31" s="218">
        <v>25</v>
      </c>
      <c r="I31" s="218">
        <v>2</v>
      </c>
      <c r="J31" s="210">
        <v>2</v>
      </c>
      <c r="K31" s="208"/>
      <c r="L31" s="208"/>
      <c r="M31" s="208"/>
      <c r="N31" s="208"/>
      <c r="O31" s="210"/>
      <c r="P31" s="208"/>
      <c r="Q31" s="211">
        <f>'приложение 1.1'!I30</f>
        <v>2.133</v>
      </c>
      <c r="R31" s="212">
        <v>0</v>
      </c>
      <c r="S31" s="108">
        <f t="shared" si="0"/>
        <v>0.583</v>
      </c>
      <c r="T31" s="217">
        <v>1.35</v>
      </c>
      <c r="U31" s="217">
        <f>ROUND(41291/1000000*4.91,2)</f>
        <v>0.2</v>
      </c>
      <c r="V31" s="214"/>
      <c r="W31" s="214"/>
      <c r="X31" s="214"/>
      <c r="Y31" s="214"/>
      <c r="Z31" s="218">
        <v>2014</v>
      </c>
      <c r="AA31" s="218">
        <v>25</v>
      </c>
      <c r="AB31" s="218">
        <v>2</v>
      </c>
      <c r="AC31" s="210">
        <v>2</v>
      </c>
      <c r="AD31" s="208"/>
      <c r="AE31" s="208"/>
      <c r="AF31" s="208"/>
      <c r="AG31" s="208"/>
      <c r="AH31" s="210"/>
      <c r="AI31" s="215"/>
      <c r="AJ31" s="183"/>
    </row>
    <row r="32" spans="1:36" s="4" customFormat="1" ht="60" customHeight="1">
      <c r="A32" s="48" t="s">
        <v>97</v>
      </c>
      <c r="B32" s="60" t="s">
        <v>98</v>
      </c>
      <c r="C32" s="207"/>
      <c r="D32" s="207"/>
      <c r="E32" s="207"/>
      <c r="F32" s="207"/>
      <c r="G32" s="208">
        <v>1990</v>
      </c>
      <c r="H32" s="208">
        <v>25</v>
      </c>
      <c r="I32" s="208">
        <v>2</v>
      </c>
      <c r="J32" s="210">
        <v>2</v>
      </c>
      <c r="K32" s="208"/>
      <c r="L32" s="208"/>
      <c r="M32" s="208"/>
      <c r="N32" s="208"/>
      <c r="O32" s="210"/>
      <c r="P32" s="208"/>
      <c r="Q32" s="211">
        <f>'приложение 1.1'!I31</f>
        <v>1.72</v>
      </c>
      <c r="R32" s="212">
        <v>0</v>
      </c>
      <c r="S32" s="108">
        <f t="shared" si="0"/>
        <v>0.27999999999999997</v>
      </c>
      <c r="T32" s="217">
        <f>ROUND(252690/1000000*4.91,2)</f>
        <v>1.24</v>
      </c>
      <c r="U32" s="217">
        <f>ROUND(41291/1000000*4.91,2)</f>
        <v>0.2</v>
      </c>
      <c r="V32" s="214"/>
      <c r="W32" s="214"/>
      <c r="X32" s="214"/>
      <c r="Y32" s="214"/>
      <c r="Z32" s="208">
        <v>2014</v>
      </c>
      <c r="AA32" s="208">
        <v>25</v>
      </c>
      <c r="AB32" s="208">
        <v>2</v>
      </c>
      <c r="AC32" s="210">
        <v>2</v>
      </c>
      <c r="AD32" s="208"/>
      <c r="AE32" s="208"/>
      <c r="AF32" s="208"/>
      <c r="AG32" s="208"/>
      <c r="AH32" s="210"/>
      <c r="AI32" s="215"/>
      <c r="AJ32" s="183"/>
    </row>
    <row r="33" spans="1:36" s="4" customFormat="1" ht="60" customHeight="1">
      <c r="A33" s="48" t="s">
        <v>99</v>
      </c>
      <c r="B33" s="60" t="s">
        <v>100</v>
      </c>
      <c r="C33" s="207"/>
      <c r="D33" s="207"/>
      <c r="E33" s="207"/>
      <c r="F33" s="207"/>
      <c r="G33" s="208">
        <v>1990</v>
      </c>
      <c r="H33" s="208">
        <v>25</v>
      </c>
      <c r="I33" s="208">
        <v>2</v>
      </c>
      <c r="J33" s="210">
        <v>2</v>
      </c>
      <c r="K33" s="208"/>
      <c r="L33" s="208"/>
      <c r="M33" s="208"/>
      <c r="N33" s="208"/>
      <c r="O33" s="210"/>
      <c r="P33" s="208"/>
      <c r="Q33" s="211">
        <f>'приложение 1.1'!I32</f>
        <v>1.72</v>
      </c>
      <c r="R33" s="212">
        <v>0</v>
      </c>
      <c r="S33" s="108">
        <f t="shared" si="0"/>
        <v>0.27999999999999997</v>
      </c>
      <c r="T33" s="217">
        <f>ROUND(252690/1000000*4.91,2)</f>
        <v>1.24</v>
      </c>
      <c r="U33" s="217">
        <f>ROUND(41291/1000000*4.91,2)</f>
        <v>0.2</v>
      </c>
      <c r="V33" s="214"/>
      <c r="W33" s="214"/>
      <c r="X33" s="214"/>
      <c r="Y33" s="214"/>
      <c r="Z33" s="208">
        <v>2014</v>
      </c>
      <c r="AA33" s="208">
        <v>25</v>
      </c>
      <c r="AB33" s="208">
        <v>2</v>
      </c>
      <c r="AC33" s="210">
        <v>2</v>
      </c>
      <c r="AD33" s="208"/>
      <c r="AE33" s="208"/>
      <c r="AF33" s="208"/>
      <c r="AG33" s="208"/>
      <c r="AH33" s="210"/>
      <c r="AI33" s="215"/>
      <c r="AJ33" s="183"/>
    </row>
    <row r="34" spans="1:36" s="4" customFormat="1" ht="60" customHeight="1">
      <c r="A34" s="48" t="s">
        <v>101</v>
      </c>
      <c r="B34" s="60" t="s">
        <v>102</v>
      </c>
      <c r="C34" s="207"/>
      <c r="D34" s="207"/>
      <c r="E34" s="207"/>
      <c r="F34" s="207"/>
      <c r="G34" s="208">
        <v>1993</v>
      </c>
      <c r="H34" s="208">
        <v>25</v>
      </c>
      <c r="I34" s="208">
        <v>2</v>
      </c>
      <c r="J34" s="209">
        <v>2</v>
      </c>
      <c r="K34" s="208"/>
      <c r="L34" s="208"/>
      <c r="M34" s="208"/>
      <c r="N34" s="208"/>
      <c r="O34" s="210"/>
      <c r="P34" s="208"/>
      <c r="Q34" s="211">
        <f>'приложение 1.1'!I33</f>
        <v>1.37</v>
      </c>
      <c r="R34" s="212">
        <v>0</v>
      </c>
      <c r="S34" s="108">
        <f t="shared" si="0"/>
        <v>0.3300000000000001</v>
      </c>
      <c r="T34" s="217">
        <f>ROUND(203929/1000000*4.91,2)</f>
        <v>1</v>
      </c>
      <c r="U34" s="217">
        <f>ROUND(7519/1000000*4.91,2)</f>
        <v>0.04</v>
      </c>
      <c r="V34" s="214"/>
      <c r="W34" s="214"/>
      <c r="X34" s="214"/>
      <c r="Y34" s="214"/>
      <c r="Z34" s="216">
        <v>2014</v>
      </c>
      <c r="AA34" s="216">
        <v>25</v>
      </c>
      <c r="AB34" s="216">
        <v>2</v>
      </c>
      <c r="AC34" s="36">
        <v>2</v>
      </c>
      <c r="AD34" s="208"/>
      <c r="AE34" s="208"/>
      <c r="AF34" s="208"/>
      <c r="AG34" s="208"/>
      <c r="AH34" s="210"/>
      <c r="AI34" s="215"/>
      <c r="AJ34" s="183"/>
    </row>
    <row r="35" spans="1:36" s="4" customFormat="1" ht="60" customHeight="1">
      <c r="A35" s="48" t="s">
        <v>103</v>
      </c>
      <c r="B35" s="61" t="s">
        <v>104</v>
      </c>
      <c r="C35" s="207"/>
      <c r="D35" s="207"/>
      <c r="E35" s="207"/>
      <c r="F35" s="207"/>
      <c r="G35" s="208">
        <v>1983</v>
      </c>
      <c r="H35" s="208">
        <v>25</v>
      </c>
      <c r="I35" s="208">
        <v>1</v>
      </c>
      <c r="J35" s="210">
        <v>0.25</v>
      </c>
      <c r="K35" s="208"/>
      <c r="L35" s="208"/>
      <c r="M35" s="208"/>
      <c r="N35" s="208"/>
      <c r="O35" s="210"/>
      <c r="P35" s="208"/>
      <c r="Q35" s="211">
        <f>'приложение 1.1'!I34</f>
        <v>0.85</v>
      </c>
      <c r="R35" s="212">
        <v>0</v>
      </c>
      <c r="S35" s="108">
        <f t="shared" si="0"/>
        <v>0.26999999999999996</v>
      </c>
      <c r="T35" s="217">
        <f>ROUND(108471/1000000*4.91,2)</f>
        <v>0.53</v>
      </c>
      <c r="U35" s="217">
        <f>ROUND(10801/1000000*4.91,2)</f>
        <v>0.05</v>
      </c>
      <c r="V35" s="214"/>
      <c r="W35" s="214"/>
      <c r="X35" s="214"/>
      <c r="Y35" s="214"/>
      <c r="Z35" s="208">
        <v>2014</v>
      </c>
      <c r="AA35" s="208">
        <v>25</v>
      </c>
      <c r="AB35" s="208">
        <v>1</v>
      </c>
      <c r="AC35" s="210">
        <v>0.16</v>
      </c>
      <c r="AD35" s="208"/>
      <c r="AE35" s="208"/>
      <c r="AF35" s="208"/>
      <c r="AG35" s="208"/>
      <c r="AH35" s="210"/>
      <c r="AI35" s="215"/>
      <c r="AJ35" s="183"/>
    </row>
    <row r="36" spans="1:36" s="4" customFormat="1" ht="60" customHeight="1">
      <c r="A36" s="48" t="s">
        <v>105</v>
      </c>
      <c r="B36" s="61" t="s">
        <v>106</v>
      </c>
      <c r="C36" s="207"/>
      <c r="D36" s="207"/>
      <c r="E36" s="207"/>
      <c r="F36" s="207"/>
      <c r="G36" s="208">
        <v>1983</v>
      </c>
      <c r="H36" s="208">
        <v>25</v>
      </c>
      <c r="I36" s="208">
        <v>1</v>
      </c>
      <c r="J36" s="210">
        <v>0.25</v>
      </c>
      <c r="K36" s="208"/>
      <c r="L36" s="208"/>
      <c r="M36" s="208"/>
      <c r="N36" s="208"/>
      <c r="O36" s="210"/>
      <c r="P36" s="208"/>
      <c r="Q36" s="211">
        <f>'приложение 1.1'!I35</f>
        <v>0.85</v>
      </c>
      <c r="R36" s="212">
        <v>0</v>
      </c>
      <c r="S36" s="108">
        <f t="shared" si="0"/>
        <v>0.26999999999999996</v>
      </c>
      <c r="T36" s="217">
        <f>ROUND(108471/1000000*4.91,2)</f>
        <v>0.53</v>
      </c>
      <c r="U36" s="217">
        <f>ROUND(10801/1000000*4.91,2)</f>
        <v>0.05</v>
      </c>
      <c r="V36" s="214"/>
      <c r="W36" s="214"/>
      <c r="X36" s="214"/>
      <c r="Y36" s="214"/>
      <c r="Z36" s="208">
        <v>2014</v>
      </c>
      <c r="AA36" s="208">
        <v>25</v>
      </c>
      <c r="AB36" s="208">
        <v>1</v>
      </c>
      <c r="AC36" s="210">
        <v>0.16</v>
      </c>
      <c r="AD36" s="208"/>
      <c r="AE36" s="208"/>
      <c r="AF36" s="208"/>
      <c r="AG36" s="208"/>
      <c r="AH36" s="210"/>
      <c r="AI36" s="215"/>
      <c r="AJ36" s="183"/>
    </row>
    <row r="37" spans="1:36" s="4" customFormat="1" ht="60" customHeight="1">
      <c r="A37" s="48" t="s">
        <v>107</v>
      </c>
      <c r="B37" s="49" t="s">
        <v>108</v>
      </c>
      <c r="C37" s="207"/>
      <c r="D37" s="207"/>
      <c r="E37" s="207"/>
      <c r="F37" s="207"/>
      <c r="G37" s="208">
        <v>1983</v>
      </c>
      <c r="H37" s="208">
        <v>25</v>
      </c>
      <c r="I37" s="208">
        <v>1</v>
      </c>
      <c r="J37" s="210">
        <v>0.25</v>
      </c>
      <c r="K37" s="208"/>
      <c r="L37" s="208"/>
      <c r="M37" s="208"/>
      <c r="N37" s="208"/>
      <c r="O37" s="210"/>
      <c r="P37" s="208"/>
      <c r="Q37" s="211">
        <f>'приложение 1.1'!I36</f>
        <v>0.51</v>
      </c>
      <c r="R37" s="212">
        <v>0</v>
      </c>
      <c r="S37" s="108">
        <f t="shared" si="0"/>
        <v>0.13000000000000003</v>
      </c>
      <c r="T37" s="217">
        <f>ROUND(73994/1000000*4.91,2)</f>
        <v>0.36</v>
      </c>
      <c r="U37" s="217">
        <f>ROUND(3802/1000000*4.91,2)</f>
        <v>0.02</v>
      </c>
      <c r="V37" s="214"/>
      <c r="W37" s="214"/>
      <c r="X37" s="214"/>
      <c r="Y37" s="214"/>
      <c r="Z37" s="208">
        <v>2014</v>
      </c>
      <c r="AA37" s="208">
        <v>25</v>
      </c>
      <c r="AB37" s="208">
        <v>1</v>
      </c>
      <c r="AC37" s="210">
        <v>0.25</v>
      </c>
      <c r="AD37" s="208"/>
      <c r="AE37" s="208"/>
      <c r="AF37" s="208"/>
      <c r="AG37" s="208"/>
      <c r="AH37" s="210"/>
      <c r="AI37" s="215"/>
      <c r="AJ37" s="183"/>
    </row>
    <row r="38" spans="1:36" s="4" customFormat="1" ht="60" customHeight="1">
      <c r="A38" s="48" t="s">
        <v>109</v>
      </c>
      <c r="B38" s="49" t="s">
        <v>110</v>
      </c>
      <c r="C38" s="207"/>
      <c r="D38" s="207"/>
      <c r="E38" s="207"/>
      <c r="F38" s="207"/>
      <c r="G38" s="208">
        <v>1983</v>
      </c>
      <c r="H38" s="208">
        <v>25</v>
      </c>
      <c r="I38" s="208">
        <v>1</v>
      </c>
      <c r="J38" s="210">
        <v>0.25</v>
      </c>
      <c r="K38" s="208"/>
      <c r="L38" s="208"/>
      <c r="M38" s="208"/>
      <c r="N38" s="208"/>
      <c r="O38" s="210"/>
      <c r="P38" s="208"/>
      <c r="Q38" s="211">
        <f>'приложение 1.1'!I37</f>
        <v>0.51</v>
      </c>
      <c r="R38" s="212">
        <v>0</v>
      </c>
      <c r="S38" s="108">
        <f t="shared" si="0"/>
        <v>0.13000000000000003</v>
      </c>
      <c r="T38" s="217">
        <f>ROUND(73994/1000000*4.91,2)</f>
        <v>0.36</v>
      </c>
      <c r="U38" s="217">
        <f>ROUND(3802/1000000*4.91,2)</f>
        <v>0.02</v>
      </c>
      <c r="V38" s="214"/>
      <c r="W38" s="214"/>
      <c r="X38" s="214"/>
      <c r="Y38" s="214"/>
      <c r="Z38" s="208">
        <v>2014</v>
      </c>
      <c r="AA38" s="208">
        <v>25</v>
      </c>
      <c r="AB38" s="208">
        <v>1</v>
      </c>
      <c r="AC38" s="210">
        <v>0.25</v>
      </c>
      <c r="AD38" s="208"/>
      <c r="AE38" s="208"/>
      <c r="AF38" s="208"/>
      <c r="AG38" s="208"/>
      <c r="AH38" s="210"/>
      <c r="AI38" s="215"/>
      <c r="AJ38" s="183"/>
    </row>
    <row r="39" spans="1:36" s="4" customFormat="1" ht="60" customHeight="1">
      <c r="A39" s="48" t="s">
        <v>111</v>
      </c>
      <c r="B39" s="49" t="s">
        <v>112</v>
      </c>
      <c r="C39" s="207"/>
      <c r="D39" s="207"/>
      <c r="E39" s="207"/>
      <c r="F39" s="207"/>
      <c r="G39" s="216">
        <v>1991</v>
      </c>
      <c r="H39" s="216">
        <v>25</v>
      </c>
      <c r="I39" s="216">
        <v>1</v>
      </c>
      <c r="J39" s="36">
        <v>0.25</v>
      </c>
      <c r="K39" s="208"/>
      <c r="L39" s="208"/>
      <c r="M39" s="208"/>
      <c r="N39" s="208"/>
      <c r="O39" s="210"/>
      <c r="P39" s="208"/>
      <c r="Q39" s="211">
        <f>'приложение 1.1'!I38</f>
        <v>0.51</v>
      </c>
      <c r="R39" s="212">
        <v>0</v>
      </c>
      <c r="S39" s="108">
        <f t="shared" si="0"/>
        <v>0.11</v>
      </c>
      <c r="T39" s="217">
        <f>ROUND(76514/1000000*4.91,2)</f>
        <v>0.38</v>
      </c>
      <c r="U39" s="217">
        <f>ROUND(3723/1000000*4.91,2)</f>
        <v>0.02</v>
      </c>
      <c r="V39" s="214"/>
      <c r="W39" s="214"/>
      <c r="X39" s="214"/>
      <c r="Y39" s="214"/>
      <c r="Z39" s="216">
        <v>2014</v>
      </c>
      <c r="AA39" s="208">
        <v>25</v>
      </c>
      <c r="AB39" s="216">
        <v>1</v>
      </c>
      <c r="AC39" s="36">
        <v>0.25</v>
      </c>
      <c r="AD39" s="208"/>
      <c r="AE39" s="208"/>
      <c r="AF39" s="208"/>
      <c r="AG39" s="208"/>
      <c r="AH39" s="210"/>
      <c r="AI39" s="215"/>
      <c r="AJ39" s="183"/>
    </row>
    <row r="40" spans="1:36" s="4" customFormat="1" ht="60" customHeight="1">
      <c r="A40" s="48" t="s">
        <v>113</v>
      </c>
      <c r="B40" s="49" t="s">
        <v>114</v>
      </c>
      <c r="C40" s="207"/>
      <c r="D40" s="207"/>
      <c r="E40" s="207"/>
      <c r="F40" s="207"/>
      <c r="G40" s="216">
        <v>1986</v>
      </c>
      <c r="H40" s="216">
        <v>25</v>
      </c>
      <c r="I40" s="216">
        <v>2</v>
      </c>
      <c r="J40" s="36">
        <v>1.26</v>
      </c>
      <c r="K40" s="208"/>
      <c r="L40" s="208"/>
      <c r="M40" s="208"/>
      <c r="N40" s="208"/>
      <c r="O40" s="210"/>
      <c r="P40" s="208"/>
      <c r="Q40" s="211">
        <f>'приложение 1.1'!I39</f>
        <v>1.11</v>
      </c>
      <c r="R40" s="212">
        <v>0</v>
      </c>
      <c r="S40" s="108">
        <f t="shared" si="0"/>
        <v>0.2600000000000001</v>
      </c>
      <c r="T40" s="217">
        <f>ROUND(153028/1000000*4.91,2)</f>
        <v>0.75</v>
      </c>
      <c r="U40" s="217">
        <f>ROUND(19754/1000000*4.91,2)</f>
        <v>0.1</v>
      </c>
      <c r="V40" s="214"/>
      <c r="W40" s="214"/>
      <c r="X40" s="214"/>
      <c r="Y40" s="214"/>
      <c r="Z40" s="216">
        <v>2014</v>
      </c>
      <c r="AA40" s="208">
        <v>25</v>
      </c>
      <c r="AB40" s="216">
        <v>2</v>
      </c>
      <c r="AC40" s="36">
        <v>0.5</v>
      </c>
      <c r="AD40" s="208"/>
      <c r="AE40" s="208"/>
      <c r="AF40" s="208"/>
      <c r="AG40" s="208"/>
      <c r="AH40" s="210"/>
      <c r="AI40" s="215"/>
      <c r="AJ40" s="183"/>
    </row>
    <row r="41" spans="1:36" s="4" customFormat="1" ht="60" customHeight="1">
      <c r="A41" s="48" t="s">
        <v>115</v>
      </c>
      <c r="B41" s="60" t="s">
        <v>116</v>
      </c>
      <c r="C41" s="207"/>
      <c r="D41" s="207"/>
      <c r="E41" s="207"/>
      <c r="F41" s="207"/>
      <c r="G41" s="208">
        <v>1992</v>
      </c>
      <c r="H41" s="208">
        <v>25</v>
      </c>
      <c r="I41" s="208">
        <v>1</v>
      </c>
      <c r="J41" s="209">
        <v>0.16</v>
      </c>
      <c r="K41" s="208"/>
      <c r="L41" s="208"/>
      <c r="M41" s="208"/>
      <c r="N41" s="208"/>
      <c r="O41" s="210"/>
      <c r="P41" s="208"/>
      <c r="Q41" s="211">
        <f>'приложение 1.1'!I40</f>
        <v>0.51</v>
      </c>
      <c r="R41" s="212">
        <v>0</v>
      </c>
      <c r="S41" s="108">
        <f t="shared" si="0"/>
        <v>0.11</v>
      </c>
      <c r="T41" s="217">
        <f>ROUND(76514/1000000*4.91,2)</f>
        <v>0.38</v>
      </c>
      <c r="U41" s="217">
        <f>ROUND(3723/1000000*4.91,2)</f>
        <v>0.02</v>
      </c>
      <c r="V41" s="214"/>
      <c r="W41" s="214"/>
      <c r="X41" s="214"/>
      <c r="Y41" s="214"/>
      <c r="Z41" s="208">
        <v>2014</v>
      </c>
      <c r="AA41" s="208">
        <v>25</v>
      </c>
      <c r="AB41" s="208">
        <v>1</v>
      </c>
      <c r="AC41" s="210">
        <v>0.16</v>
      </c>
      <c r="AD41" s="208"/>
      <c r="AE41" s="208"/>
      <c r="AF41" s="208"/>
      <c r="AG41" s="208"/>
      <c r="AH41" s="210"/>
      <c r="AI41" s="215"/>
      <c r="AJ41" s="183"/>
    </row>
    <row r="42" spans="1:36" s="4" customFormat="1" ht="60" customHeight="1">
      <c r="A42" s="48" t="s">
        <v>117</v>
      </c>
      <c r="B42" s="60" t="s">
        <v>118</v>
      </c>
      <c r="C42" s="207"/>
      <c r="D42" s="207"/>
      <c r="E42" s="207"/>
      <c r="F42" s="207"/>
      <c r="G42" s="208">
        <v>1991</v>
      </c>
      <c r="H42" s="208">
        <v>25</v>
      </c>
      <c r="I42" s="208">
        <v>2</v>
      </c>
      <c r="J42" s="209">
        <v>1.26</v>
      </c>
      <c r="K42" s="208"/>
      <c r="L42" s="208"/>
      <c r="M42" s="208"/>
      <c r="N42" s="208"/>
      <c r="O42" s="210"/>
      <c r="P42" s="208"/>
      <c r="Q42" s="211">
        <f>'приложение 1.1'!I41</f>
        <v>1.42</v>
      </c>
      <c r="R42" s="212">
        <v>0</v>
      </c>
      <c r="S42" s="108">
        <f t="shared" si="0"/>
        <v>0.3799999999999999</v>
      </c>
      <c r="T42" s="217">
        <f>ROUND(177338/1000000*4.91,2)</f>
        <v>0.87</v>
      </c>
      <c r="U42" s="217">
        <f>ROUND(34059/1000000*4.91,2)</f>
        <v>0.17</v>
      </c>
      <c r="V42" s="214"/>
      <c r="W42" s="214"/>
      <c r="X42" s="214"/>
      <c r="Y42" s="214"/>
      <c r="Z42" s="216">
        <v>2014</v>
      </c>
      <c r="AA42" s="216">
        <v>25</v>
      </c>
      <c r="AB42" s="216">
        <v>2</v>
      </c>
      <c r="AC42" s="36">
        <v>1.26</v>
      </c>
      <c r="AD42" s="208"/>
      <c r="AE42" s="208"/>
      <c r="AF42" s="208"/>
      <c r="AG42" s="208"/>
      <c r="AH42" s="210"/>
      <c r="AI42" s="215"/>
      <c r="AJ42" s="183"/>
    </row>
    <row r="43" spans="1:36" s="4" customFormat="1" ht="60" customHeight="1">
      <c r="A43" s="48" t="s">
        <v>119</v>
      </c>
      <c r="B43" s="60" t="s">
        <v>120</v>
      </c>
      <c r="C43" s="207"/>
      <c r="D43" s="207"/>
      <c r="E43" s="207"/>
      <c r="F43" s="207"/>
      <c r="G43" s="216">
        <v>1994</v>
      </c>
      <c r="H43" s="216">
        <v>25</v>
      </c>
      <c r="I43" s="216">
        <v>2</v>
      </c>
      <c r="J43" s="36">
        <v>0.8</v>
      </c>
      <c r="K43" s="208"/>
      <c r="L43" s="208"/>
      <c r="M43" s="208"/>
      <c r="N43" s="208"/>
      <c r="O43" s="210"/>
      <c r="P43" s="208"/>
      <c r="Q43" s="211">
        <f>'приложение 1.1'!I42</f>
        <v>1.22</v>
      </c>
      <c r="R43" s="212">
        <v>0</v>
      </c>
      <c r="S43" s="108">
        <f t="shared" si="0"/>
        <v>0.24999999999999994</v>
      </c>
      <c r="T43" s="217">
        <f>ROUND(180860/1000000*4.91,2)</f>
        <v>0.89</v>
      </c>
      <c r="U43" s="217">
        <f>ROUND(16484/1000000*4.91,2)</f>
        <v>0.08</v>
      </c>
      <c r="V43" s="214"/>
      <c r="W43" s="214"/>
      <c r="X43" s="214"/>
      <c r="Y43" s="214"/>
      <c r="Z43" s="216">
        <v>2014</v>
      </c>
      <c r="AA43" s="216">
        <v>25</v>
      </c>
      <c r="AB43" s="216">
        <v>2</v>
      </c>
      <c r="AC43" s="36">
        <v>0.8</v>
      </c>
      <c r="AD43" s="208"/>
      <c r="AE43" s="208"/>
      <c r="AF43" s="208"/>
      <c r="AG43" s="208"/>
      <c r="AH43" s="210"/>
      <c r="AI43" s="215"/>
      <c r="AJ43" s="183"/>
    </row>
    <row r="44" spans="1:36" s="4" customFormat="1" ht="60" customHeight="1">
      <c r="A44" s="48" t="s">
        <v>121</v>
      </c>
      <c r="B44" s="49" t="s">
        <v>122</v>
      </c>
      <c r="C44" s="207"/>
      <c r="D44" s="207"/>
      <c r="E44" s="207"/>
      <c r="F44" s="207"/>
      <c r="G44" s="208">
        <v>1984</v>
      </c>
      <c r="H44" s="208">
        <v>25</v>
      </c>
      <c r="I44" s="208">
        <v>2</v>
      </c>
      <c r="J44" s="210">
        <v>8</v>
      </c>
      <c r="K44" s="208"/>
      <c r="L44" s="208"/>
      <c r="M44" s="208"/>
      <c r="N44" s="208"/>
      <c r="O44" s="210"/>
      <c r="P44" s="208"/>
      <c r="Q44" s="211">
        <f>'приложение 1.1'!I43</f>
        <v>3.16</v>
      </c>
      <c r="R44" s="212">
        <v>0</v>
      </c>
      <c r="S44" s="108">
        <f t="shared" si="0"/>
        <v>0.62</v>
      </c>
      <c r="T44" s="217">
        <f>ROUND(498607/1000000*4.91,2)</f>
        <v>2.45</v>
      </c>
      <c r="U44" s="217">
        <f>ROUND(18874/1000000*4.91,2)</f>
        <v>0.09</v>
      </c>
      <c r="V44" s="214"/>
      <c r="W44" s="214"/>
      <c r="X44" s="214"/>
      <c r="Y44" s="214"/>
      <c r="Z44" s="208">
        <v>2014</v>
      </c>
      <c r="AA44" s="208">
        <v>25</v>
      </c>
      <c r="AB44" s="208">
        <v>2</v>
      </c>
      <c r="AC44" s="210">
        <v>8</v>
      </c>
      <c r="AD44" s="208"/>
      <c r="AE44" s="208"/>
      <c r="AF44" s="208"/>
      <c r="AG44" s="208"/>
      <c r="AH44" s="210"/>
      <c r="AI44" s="215"/>
      <c r="AJ44" s="183"/>
    </row>
    <row r="45" spans="1:36" s="4" customFormat="1" ht="60" customHeight="1">
      <c r="A45" s="48" t="s">
        <v>123</v>
      </c>
      <c r="B45" s="58" t="s">
        <v>124</v>
      </c>
      <c r="C45" s="207"/>
      <c r="D45" s="207"/>
      <c r="E45" s="207"/>
      <c r="F45" s="207"/>
      <c r="G45" s="216">
        <v>1990</v>
      </c>
      <c r="H45" s="216">
        <v>25</v>
      </c>
      <c r="I45" s="216">
        <v>2</v>
      </c>
      <c r="J45" s="36">
        <v>12.6</v>
      </c>
      <c r="K45" s="208"/>
      <c r="L45" s="208"/>
      <c r="M45" s="208"/>
      <c r="N45" s="208"/>
      <c r="O45" s="210"/>
      <c r="P45" s="208"/>
      <c r="Q45" s="211">
        <f>'приложение 1.1'!I44</f>
        <v>4.63</v>
      </c>
      <c r="R45" s="212">
        <v>0</v>
      </c>
      <c r="S45" s="108">
        <f t="shared" si="0"/>
        <v>0.9799999999999999</v>
      </c>
      <c r="T45" s="217">
        <f>ROUND(576261/1000000*4.91,2)</f>
        <v>2.83</v>
      </c>
      <c r="U45" s="217">
        <f>ROUND(167862/1000000*4.91,2)</f>
        <v>0.82</v>
      </c>
      <c r="V45" s="214"/>
      <c r="W45" s="214"/>
      <c r="X45" s="214"/>
      <c r="Y45" s="214"/>
      <c r="Z45" s="216">
        <v>2014</v>
      </c>
      <c r="AA45" s="216">
        <v>25</v>
      </c>
      <c r="AB45" s="216">
        <v>2</v>
      </c>
      <c r="AC45" s="36">
        <v>12.6</v>
      </c>
      <c r="AD45" s="208"/>
      <c r="AE45" s="208"/>
      <c r="AF45" s="208"/>
      <c r="AG45" s="208"/>
      <c r="AH45" s="210"/>
      <c r="AI45" s="215"/>
      <c r="AJ45" s="183"/>
    </row>
    <row r="46" spans="1:36" s="4" customFormat="1" ht="60" customHeight="1">
      <c r="A46" s="48" t="s">
        <v>125</v>
      </c>
      <c r="B46" s="58" t="s">
        <v>126</v>
      </c>
      <c r="C46" s="207"/>
      <c r="D46" s="207"/>
      <c r="E46" s="207"/>
      <c r="F46" s="207"/>
      <c r="G46" s="216">
        <v>2004</v>
      </c>
      <c r="H46" s="216">
        <v>25</v>
      </c>
      <c r="I46" s="216">
        <v>2</v>
      </c>
      <c r="J46" s="36">
        <v>7.9</v>
      </c>
      <c r="K46" s="208"/>
      <c r="L46" s="208"/>
      <c r="M46" s="208"/>
      <c r="N46" s="208"/>
      <c r="O46" s="210"/>
      <c r="P46" s="208"/>
      <c r="Q46" s="211">
        <f>'приложение 1.1'!I45</f>
        <v>4</v>
      </c>
      <c r="R46" s="212">
        <v>0</v>
      </c>
      <c r="S46" s="108">
        <f t="shared" si="0"/>
        <v>0.33000000000000007</v>
      </c>
      <c r="T46" s="217">
        <f>ROUND(590691/1000000*4.91,2)</f>
        <v>2.9</v>
      </c>
      <c r="U46" s="217">
        <f>ROUND(155842/1000000*4.91,2)</f>
        <v>0.77</v>
      </c>
      <c r="V46" s="214"/>
      <c r="W46" s="214"/>
      <c r="X46" s="214"/>
      <c r="Y46" s="214"/>
      <c r="Z46" s="216">
        <v>2014</v>
      </c>
      <c r="AA46" s="216">
        <v>25</v>
      </c>
      <c r="AB46" s="216">
        <v>2</v>
      </c>
      <c r="AC46" s="36">
        <v>7.9</v>
      </c>
      <c r="AD46" s="208"/>
      <c r="AE46" s="208"/>
      <c r="AF46" s="208"/>
      <c r="AG46" s="208"/>
      <c r="AH46" s="210"/>
      <c r="AI46" s="215"/>
      <c r="AJ46" s="183"/>
    </row>
    <row r="47" spans="1:36" s="4" customFormat="1" ht="60" customHeight="1">
      <c r="A47" s="48" t="s">
        <v>127</v>
      </c>
      <c r="B47" s="58" t="s">
        <v>128</v>
      </c>
      <c r="C47" s="207"/>
      <c r="D47" s="207"/>
      <c r="E47" s="207"/>
      <c r="F47" s="207"/>
      <c r="G47" s="208">
        <v>1982</v>
      </c>
      <c r="H47" s="208">
        <v>25</v>
      </c>
      <c r="I47" s="208">
        <v>2</v>
      </c>
      <c r="J47" s="209">
        <v>12.6</v>
      </c>
      <c r="K47" s="208"/>
      <c r="L47" s="208"/>
      <c r="M47" s="208"/>
      <c r="N47" s="208"/>
      <c r="O47" s="210"/>
      <c r="P47" s="208"/>
      <c r="Q47" s="211">
        <f>'приложение 1.1'!I46</f>
        <v>34.284079999999996</v>
      </c>
      <c r="R47" s="212">
        <v>0</v>
      </c>
      <c r="S47" s="108">
        <f t="shared" si="0"/>
        <v>8.104079999999994</v>
      </c>
      <c r="T47" s="217">
        <v>25.87</v>
      </c>
      <c r="U47" s="217">
        <v>0.31</v>
      </c>
      <c r="V47" s="214"/>
      <c r="W47" s="214"/>
      <c r="X47" s="214"/>
      <c r="Y47" s="214"/>
      <c r="Z47" s="208">
        <v>2014</v>
      </c>
      <c r="AA47" s="208">
        <v>25</v>
      </c>
      <c r="AB47" s="208">
        <v>2</v>
      </c>
      <c r="AC47" s="210">
        <v>12.6</v>
      </c>
      <c r="AD47" s="208"/>
      <c r="AE47" s="208"/>
      <c r="AF47" s="208"/>
      <c r="AG47" s="208"/>
      <c r="AH47" s="210"/>
      <c r="AI47" s="215"/>
      <c r="AJ47" s="183"/>
    </row>
    <row r="48" spans="1:36" s="4" customFormat="1" ht="60" customHeight="1">
      <c r="A48" s="48" t="s">
        <v>129</v>
      </c>
      <c r="B48" s="62" t="s">
        <v>130</v>
      </c>
      <c r="C48" s="207"/>
      <c r="D48" s="207"/>
      <c r="E48" s="207"/>
      <c r="F48" s="207"/>
      <c r="G48" s="218">
        <v>1992</v>
      </c>
      <c r="H48" s="218">
        <v>25</v>
      </c>
      <c r="I48" s="208">
        <v>2</v>
      </c>
      <c r="J48" s="209">
        <v>1.26</v>
      </c>
      <c r="K48" s="208"/>
      <c r="L48" s="208"/>
      <c r="M48" s="208"/>
      <c r="N48" s="208"/>
      <c r="O48" s="210"/>
      <c r="P48" s="208"/>
      <c r="Q48" s="211">
        <f>'приложение 1.1'!I47</f>
        <v>13.428</v>
      </c>
      <c r="R48" s="212">
        <v>0</v>
      </c>
      <c r="S48" s="108">
        <f t="shared" si="0"/>
        <v>4.088000000000001</v>
      </c>
      <c r="T48" s="217">
        <v>7.41</v>
      </c>
      <c r="U48" s="217">
        <v>1.93</v>
      </c>
      <c r="V48" s="214"/>
      <c r="W48" s="214"/>
      <c r="X48" s="214"/>
      <c r="Y48" s="214"/>
      <c r="Z48" s="218">
        <v>2014</v>
      </c>
      <c r="AA48" s="218">
        <v>25</v>
      </c>
      <c r="AB48" s="208">
        <v>2</v>
      </c>
      <c r="AC48" s="209">
        <v>1.26</v>
      </c>
      <c r="AD48" s="208"/>
      <c r="AE48" s="208"/>
      <c r="AF48" s="208"/>
      <c r="AG48" s="208"/>
      <c r="AH48" s="210"/>
      <c r="AI48" s="215"/>
      <c r="AJ48" s="183"/>
    </row>
    <row r="49" spans="1:36" s="4" customFormat="1" ht="60" customHeight="1">
      <c r="A49" s="48" t="s">
        <v>131</v>
      </c>
      <c r="B49" s="62" t="s">
        <v>132</v>
      </c>
      <c r="C49" s="207"/>
      <c r="D49" s="207"/>
      <c r="E49" s="207"/>
      <c r="F49" s="207"/>
      <c r="G49" s="218">
        <v>1990</v>
      </c>
      <c r="H49" s="218">
        <v>25</v>
      </c>
      <c r="I49" s="208">
        <v>0</v>
      </c>
      <c r="J49" s="209">
        <v>0</v>
      </c>
      <c r="K49" s="208"/>
      <c r="L49" s="208"/>
      <c r="M49" s="208"/>
      <c r="N49" s="208"/>
      <c r="O49" s="210"/>
      <c r="P49" s="208"/>
      <c r="Q49" s="211">
        <f>'приложение 1.1'!I48</f>
        <v>1.83</v>
      </c>
      <c r="R49" s="212">
        <v>0</v>
      </c>
      <c r="S49" s="108">
        <f t="shared" si="0"/>
        <v>0.36</v>
      </c>
      <c r="T49" s="217">
        <f>ROUND(269602/1000000*4.91,2)</f>
        <v>1.32</v>
      </c>
      <c r="U49" s="217">
        <f>ROUND(30141/1000000*4.91,2)</f>
        <v>0.15</v>
      </c>
      <c r="V49" s="214"/>
      <c r="W49" s="214"/>
      <c r="X49" s="214"/>
      <c r="Y49" s="214"/>
      <c r="Z49" s="216">
        <v>2014</v>
      </c>
      <c r="AA49" s="216">
        <v>25</v>
      </c>
      <c r="AB49" s="216">
        <v>0</v>
      </c>
      <c r="AC49" s="36">
        <v>0</v>
      </c>
      <c r="AD49" s="208"/>
      <c r="AE49" s="208"/>
      <c r="AF49" s="208"/>
      <c r="AG49" s="208"/>
      <c r="AH49" s="210"/>
      <c r="AI49" s="215"/>
      <c r="AJ49" s="183"/>
    </row>
    <row r="50" spans="1:36" s="4" customFormat="1" ht="60" customHeight="1">
      <c r="A50" s="48" t="s">
        <v>133</v>
      </c>
      <c r="B50" s="58" t="s">
        <v>134</v>
      </c>
      <c r="C50" s="207"/>
      <c r="D50" s="207"/>
      <c r="E50" s="207"/>
      <c r="F50" s="207"/>
      <c r="G50" s="208"/>
      <c r="H50" s="208"/>
      <c r="I50" s="208"/>
      <c r="J50" s="209"/>
      <c r="K50" s="218">
        <v>1999</v>
      </c>
      <c r="L50" s="218">
        <v>30</v>
      </c>
      <c r="M50" s="208" t="s">
        <v>426</v>
      </c>
      <c r="N50" s="218" t="s">
        <v>427</v>
      </c>
      <c r="O50" s="209">
        <v>0.89</v>
      </c>
      <c r="P50" s="208"/>
      <c r="Q50" s="211">
        <f>'приложение 1.1'!I49</f>
        <v>1.25</v>
      </c>
      <c r="R50" s="212">
        <v>0</v>
      </c>
      <c r="S50" s="212">
        <f t="shared" si="0"/>
        <v>0.33999999999999997</v>
      </c>
      <c r="T50" s="213">
        <v>0.65</v>
      </c>
      <c r="U50" s="213">
        <v>0.26</v>
      </c>
      <c r="V50" s="214"/>
      <c r="W50" s="214"/>
      <c r="X50" s="214"/>
      <c r="Y50" s="214"/>
      <c r="Z50" s="208"/>
      <c r="AA50" s="208"/>
      <c r="AB50" s="208"/>
      <c r="AC50" s="209"/>
      <c r="AD50" s="218">
        <v>2015</v>
      </c>
      <c r="AE50" s="218">
        <v>30</v>
      </c>
      <c r="AF50" s="208" t="s">
        <v>426</v>
      </c>
      <c r="AG50" s="218" t="s">
        <v>427</v>
      </c>
      <c r="AH50" s="36">
        <v>0.89</v>
      </c>
      <c r="AI50" s="215"/>
      <c r="AJ50" s="183"/>
    </row>
    <row r="51" spans="1:36" s="4" customFormat="1" ht="60" customHeight="1">
      <c r="A51" s="48" t="s">
        <v>135</v>
      </c>
      <c r="B51" s="58" t="s">
        <v>136</v>
      </c>
      <c r="C51" s="207"/>
      <c r="D51" s="207"/>
      <c r="E51" s="207"/>
      <c r="F51" s="207"/>
      <c r="G51" s="208"/>
      <c r="H51" s="208"/>
      <c r="I51" s="208"/>
      <c r="J51" s="209"/>
      <c r="K51" s="218">
        <v>2003</v>
      </c>
      <c r="L51" s="218">
        <v>30</v>
      </c>
      <c r="M51" s="208" t="s">
        <v>428</v>
      </c>
      <c r="N51" s="218" t="s">
        <v>419</v>
      </c>
      <c r="O51" s="209">
        <v>3.14</v>
      </c>
      <c r="P51" s="208"/>
      <c r="Q51" s="211">
        <f>'приложение 1.1'!I50</f>
        <v>1.17</v>
      </c>
      <c r="R51" s="212">
        <v>0</v>
      </c>
      <c r="S51" s="212">
        <f t="shared" si="0"/>
        <v>0.57</v>
      </c>
      <c r="T51" s="213">
        <v>0.6</v>
      </c>
      <c r="U51" s="213">
        <v>0</v>
      </c>
      <c r="V51" s="214"/>
      <c r="W51" s="214"/>
      <c r="X51" s="214"/>
      <c r="Y51" s="214"/>
      <c r="Z51" s="208"/>
      <c r="AA51" s="208"/>
      <c r="AB51" s="208"/>
      <c r="AC51" s="209"/>
      <c r="AD51" s="218">
        <v>2015</v>
      </c>
      <c r="AE51" s="218">
        <v>30</v>
      </c>
      <c r="AF51" s="208" t="s">
        <v>428</v>
      </c>
      <c r="AG51" s="218" t="s">
        <v>419</v>
      </c>
      <c r="AH51" s="36">
        <v>3.14</v>
      </c>
      <c r="AI51" s="215"/>
      <c r="AJ51" s="183"/>
    </row>
    <row r="52" spans="1:36" s="4" customFormat="1" ht="60" customHeight="1">
      <c r="A52" s="48" t="s">
        <v>137</v>
      </c>
      <c r="B52" s="58" t="s">
        <v>138</v>
      </c>
      <c r="C52" s="207"/>
      <c r="D52" s="207"/>
      <c r="E52" s="207"/>
      <c r="F52" s="207"/>
      <c r="G52" s="208"/>
      <c r="H52" s="208"/>
      <c r="I52" s="208"/>
      <c r="J52" s="209"/>
      <c r="K52" s="218">
        <v>2002</v>
      </c>
      <c r="L52" s="218">
        <v>30</v>
      </c>
      <c r="M52" s="208" t="s">
        <v>426</v>
      </c>
      <c r="N52" s="218" t="s">
        <v>419</v>
      </c>
      <c r="O52" s="219">
        <v>9</v>
      </c>
      <c r="P52" s="208"/>
      <c r="Q52" s="211">
        <f>'приложение 1.1'!I51</f>
        <v>2.8202</v>
      </c>
      <c r="R52" s="212">
        <v>0</v>
      </c>
      <c r="S52" s="212">
        <f t="shared" si="0"/>
        <v>1.9501999999999997</v>
      </c>
      <c r="T52" s="213">
        <v>0.87</v>
      </c>
      <c r="U52" s="213">
        <v>0</v>
      </c>
      <c r="V52" s="214"/>
      <c r="W52" s="214"/>
      <c r="X52" s="214"/>
      <c r="Y52" s="214"/>
      <c r="Z52" s="208"/>
      <c r="AA52" s="208"/>
      <c r="AB52" s="208"/>
      <c r="AC52" s="209"/>
      <c r="AD52" s="218">
        <v>2015</v>
      </c>
      <c r="AE52" s="218">
        <v>30</v>
      </c>
      <c r="AF52" s="208" t="s">
        <v>426</v>
      </c>
      <c r="AG52" s="218" t="s">
        <v>419</v>
      </c>
      <c r="AH52" s="65">
        <v>9</v>
      </c>
      <c r="AI52" s="215"/>
      <c r="AJ52" s="183"/>
    </row>
    <row r="53" spans="1:36" s="4" customFormat="1" ht="60" customHeight="1">
      <c r="A53" s="48" t="s">
        <v>139</v>
      </c>
      <c r="B53" s="58" t="s">
        <v>140</v>
      </c>
      <c r="C53" s="207"/>
      <c r="D53" s="207"/>
      <c r="E53" s="207"/>
      <c r="F53" s="207"/>
      <c r="G53" s="208"/>
      <c r="H53" s="208"/>
      <c r="I53" s="208"/>
      <c r="J53" s="209"/>
      <c r="K53" s="218">
        <v>1987</v>
      </c>
      <c r="L53" s="218">
        <v>30</v>
      </c>
      <c r="M53" s="218"/>
      <c r="N53" s="218" t="s">
        <v>420</v>
      </c>
      <c r="O53" s="209">
        <v>0.94</v>
      </c>
      <c r="P53" s="208"/>
      <c r="Q53" s="211">
        <v>0.67</v>
      </c>
      <c r="R53" s="212">
        <v>0</v>
      </c>
      <c r="S53" s="212">
        <f t="shared" si="0"/>
        <v>0.46</v>
      </c>
      <c r="T53" s="213">
        <v>0.2</v>
      </c>
      <c r="U53" s="213">
        <v>0.01</v>
      </c>
      <c r="V53" s="214"/>
      <c r="W53" s="214"/>
      <c r="X53" s="214"/>
      <c r="Y53" s="214"/>
      <c r="Z53" s="208"/>
      <c r="AA53" s="208"/>
      <c r="AB53" s="208"/>
      <c r="AC53" s="209"/>
      <c r="AD53" s="218">
        <v>2015</v>
      </c>
      <c r="AE53" s="218">
        <v>30</v>
      </c>
      <c r="AF53" s="218"/>
      <c r="AG53" s="218" t="s">
        <v>421</v>
      </c>
      <c r="AH53" s="36">
        <v>0.94</v>
      </c>
      <c r="AI53" s="215"/>
      <c r="AJ53" s="183"/>
    </row>
    <row r="54" spans="1:36" s="4" customFormat="1" ht="60" customHeight="1">
      <c r="A54" s="48" t="s">
        <v>141</v>
      </c>
      <c r="B54" s="58" t="s">
        <v>142</v>
      </c>
      <c r="C54" s="207"/>
      <c r="D54" s="207"/>
      <c r="E54" s="207"/>
      <c r="F54" s="207"/>
      <c r="G54" s="208"/>
      <c r="H54" s="208"/>
      <c r="I54" s="208"/>
      <c r="J54" s="209"/>
      <c r="K54" s="218">
        <v>1987</v>
      </c>
      <c r="L54" s="218">
        <v>30</v>
      </c>
      <c r="M54" s="218"/>
      <c r="N54" s="218" t="s">
        <v>429</v>
      </c>
      <c r="O54" s="209">
        <v>0.68</v>
      </c>
      <c r="P54" s="208"/>
      <c r="Q54" s="211">
        <f>'приложение 1.1'!I53</f>
        <v>0.3186</v>
      </c>
      <c r="R54" s="212">
        <v>0</v>
      </c>
      <c r="S54" s="212">
        <f t="shared" si="0"/>
        <v>0.23859999999999998</v>
      </c>
      <c r="T54" s="213">
        <v>0.08</v>
      </c>
      <c r="U54" s="213">
        <v>0</v>
      </c>
      <c r="V54" s="214"/>
      <c r="W54" s="214"/>
      <c r="X54" s="214"/>
      <c r="Y54" s="214"/>
      <c r="Z54" s="208"/>
      <c r="AA54" s="208"/>
      <c r="AB54" s="208"/>
      <c r="AC54" s="209"/>
      <c r="AD54" s="218">
        <v>2015</v>
      </c>
      <c r="AE54" s="218">
        <v>30</v>
      </c>
      <c r="AF54" s="218"/>
      <c r="AG54" s="218" t="s">
        <v>429</v>
      </c>
      <c r="AH54" s="36">
        <v>0.68</v>
      </c>
      <c r="AI54" s="215"/>
      <c r="AJ54" s="183"/>
    </row>
    <row r="55" spans="1:36" s="4" customFormat="1" ht="60" customHeight="1">
      <c r="A55" s="48" t="s">
        <v>143</v>
      </c>
      <c r="B55" s="58" t="s">
        <v>144</v>
      </c>
      <c r="C55" s="207"/>
      <c r="D55" s="207"/>
      <c r="E55" s="207"/>
      <c r="F55" s="207"/>
      <c r="G55" s="208"/>
      <c r="H55" s="208"/>
      <c r="I55" s="208"/>
      <c r="J55" s="209"/>
      <c r="K55" s="218">
        <v>1985</v>
      </c>
      <c r="L55" s="218">
        <v>30</v>
      </c>
      <c r="M55" s="218"/>
      <c r="N55" s="218" t="s">
        <v>430</v>
      </c>
      <c r="O55" s="209">
        <v>2.24</v>
      </c>
      <c r="P55" s="208"/>
      <c r="Q55" s="211">
        <f>'приложение 1.1'!I54</f>
        <v>1.3924</v>
      </c>
      <c r="R55" s="212">
        <v>0</v>
      </c>
      <c r="S55" s="212">
        <f t="shared" si="0"/>
        <v>0.8724000000000001</v>
      </c>
      <c r="T55" s="213">
        <v>0.51</v>
      </c>
      <c r="U55" s="213">
        <v>0.01</v>
      </c>
      <c r="V55" s="214"/>
      <c r="W55" s="214"/>
      <c r="X55" s="214"/>
      <c r="Y55" s="214"/>
      <c r="Z55" s="208"/>
      <c r="AA55" s="208"/>
      <c r="AB55" s="208"/>
      <c r="AC55" s="209"/>
      <c r="AD55" s="218">
        <v>2015</v>
      </c>
      <c r="AE55" s="218">
        <v>30</v>
      </c>
      <c r="AF55" s="218"/>
      <c r="AG55" s="218" t="s">
        <v>430</v>
      </c>
      <c r="AH55" s="36">
        <v>2.24</v>
      </c>
      <c r="AI55" s="215"/>
      <c r="AJ55" s="183"/>
    </row>
    <row r="56" spans="1:36" s="4" customFormat="1" ht="60" customHeight="1">
      <c r="A56" s="48" t="s">
        <v>145</v>
      </c>
      <c r="B56" s="57" t="s">
        <v>146</v>
      </c>
      <c r="C56" s="207"/>
      <c r="D56" s="207"/>
      <c r="E56" s="207"/>
      <c r="F56" s="207"/>
      <c r="G56" s="208"/>
      <c r="H56" s="208"/>
      <c r="I56" s="208"/>
      <c r="J56" s="209"/>
      <c r="K56" s="208">
        <v>1999</v>
      </c>
      <c r="L56" s="218" t="s">
        <v>431</v>
      </c>
      <c r="M56" s="218" t="s">
        <v>418</v>
      </c>
      <c r="N56" s="218" t="s">
        <v>427</v>
      </c>
      <c r="O56" s="210">
        <v>0.22</v>
      </c>
      <c r="P56" s="208"/>
      <c r="Q56" s="211">
        <f>'приложение 1.1'!I55</f>
        <v>0.5</v>
      </c>
      <c r="R56" s="212">
        <v>0</v>
      </c>
      <c r="S56" s="212">
        <f t="shared" si="0"/>
        <v>0.32999999999999996</v>
      </c>
      <c r="T56" s="213">
        <v>0.15</v>
      </c>
      <c r="U56" s="213">
        <v>0.02</v>
      </c>
      <c r="V56" s="214"/>
      <c r="W56" s="214"/>
      <c r="X56" s="214"/>
      <c r="Y56" s="214"/>
      <c r="Z56" s="208"/>
      <c r="AA56" s="208"/>
      <c r="AB56" s="208"/>
      <c r="AC56" s="209"/>
      <c r="AD56" s="208">
        <v>2015</v>
      </c>
      <c r="AE56" s="208">
        <v>30</v>
      </c>
      <c r="AF56" s="218" t="s">
        <v>418</v>
      </c>
      <c r="AG56" s="218" t="s">
        <v>427</v>
      </c>
      <c r="AH56" s="210">
        <v>0.22</v>
      </c>
      <c r="AI56" s="215"/>
      <c r="AJ56" s="183"/>
    </row>
    <row r="57" spans="1:36" s="4" customFormat="1" ht="60" customHeight="1">
      <c r="A57" s="48" t="s">
        <v>147</v>
      </c>
      <c r="B57" s="67" t="s">
        <v>148</v>
      </c>
      <c r="C57" s="207"/>
      <c r="D57" s="207"/>
      <c r="E57" s="207"/>
      <c r="F57" s="207"/>
      <c r="G57" s="208"/>
      <c r="H57" s="208"/>
      <c r="I57" s="208"/>
      <c r="J57" s="209"/>
      <c r="K57" s="208">
        <v>1985</v>
      </c>
      <c r="L57" s="218" t="s">
        <v>431</v>
      </c>
      <c r="M57" s="218" t="s">
        <v>428</v>
      </c>
      <c r="N57" s="218" t="s">
        <v>419</v>
      </c>
      <c r="O57" s="210">
        <v>2.61</v>
      </c>
      <c r="P57" s="208"/>
      <c r="Q57" s="211">
        <f>'приложение 1.1'!I56</f>
        <v>1.16</v>
      </c>
      <c r="R57" s="212">
        <v>0</v>
      </c>
      <c r="S57" s="212">
        <f t="shared" si="0"/>
        <v>0.6199999999999999</v>
      </c>
      <c r="T57" s="213">
        <v>0.52</v>
      </c>
      <c r="U57" s="213">
        <v>0.02</v>
      </c>
      <c r="V57" s="214"/>
      <c r="W57" s="214"/>
      <c r="X57" s="214"/>
      <c r="Y57" s="214"/>
      <c r="Z57" s="208"/>
      <c r="AA57" s="208"/>
      <c r="AB57" s="208"/>
      <c r="AC57" s="209"/>
      <c r="AD57" s="208">
        <v>2015</v>
      </c>
      <c r="AE57" s="208">
        <v>30</v>
      </c>
      <c r="AF57" s="218" t="s">
        <v>428</v>
      </c>
      <c r="AG57" s="218" t="s">
        <v>419</v>
      </c>
      <c r="AH57" s="210">
        <v>2.61</v>
      </c>
      <c r="AI57" s="215"/>
      <c r="AJ57" s="183"/>
    </row>
    <row r="58" spans="1:36" s="4" customFormat="1" ht="60" customHeight="1">
      <c r="A58" s="48" t="s">
        <v>149</v>
      </c>
      <c r="B58" s="68" t="s">
        <v>150</v>
      </c>
      <c r="C58" s="207"/>
      <c r="D58" s="207"/>
      <c r="E58" s="207"/>
      <c r="F58" s="207"/>
      <c r="G58" s="208"/>
      <c r="H58" s="208"/>
      <c r="I58" s="208"/>
      <c r="J58" s="209"/>
      <c r="K58" s="208">
        <v>1988</v>
      </c>
      <c r="L58" s="208" t="s">
        <v>431</v>
      </c>
      <c r="M58" s="208" t="s">
        <v>426</v>
      </c>
      <c r="N58" s="208" t="s">
        <v>427</v>
      </c>
      <c r="O58" s="210">
        <v>4.16</v>
      </c>
      <c r="P58" s="208"/>
      <c r="Q58" s="211">
        <f>'приложение 1.1'!I57</f>
        <v>0.27</v>
      </c>
      <c r="R58" s="212">
        <v>0</v>
      </c>
      <c r="S58" s="212">
        <f t="shared" si="0"/>
        <v>0.18000000000000002</v>
      </c>
      <c r="T58" s="213">
        <v>0.06</v>
      </c>
      <c r="U58" s="213">
        <v>0.03</v>
      </c>
      <c r="V58" s="214"/>
      <c r="W58" s="214"/>
      <c r="X58" s="214"/>
      <c r="Y58" s="214"/>
      <c r="Z58" s="208"/>
      <c r="AA58" s="208"/>
      <c r="AB58" s="208"/>
      <c r="AC58" s="209"/>
      <c r="AD58" s="208">
        <v>2015</v>
      </c>
      <c r="AE58" s="208">
        <v>30</v>
      </c>
      <c r="AF58" s="208" t="s">
        <v>426</v>
      </c>
      <c r="AG58" s="208" t="s">
        <v>427</v>
      </c>
      <c r="AH58" s="210">
        <v>4.16</v>
      </c>
      <c r="AI58" s="215"/>
      <c r="AJ58" s="183"/>
    </row>
    <row r="59" spans="1:36" s="4" customFormat="1" ht="60" customHeight="1">
      <c r="A59" s="48" t="s">
        <v>151</v>
      </c>
      <c r="B59" s="68" t="s">
        <v>152</v>
      </c>
      <c r="C59" s="207"/>
      <c r="D59" s="207"/>
      <c r="E59" s="207"/>
      <c r="F59" s="207"/>
      <c r="G59" s="208"/>
      <c r="H59" s="208"/>
      <c r="I59" s="208"/>
      <c r="J59" s="209"/>
      <c r="K59" s="208">
        <v>1983</v>
      </c>
      <c r="L59" s="218" t="s">
        <v>431</v>
      </c>
      <c r="M59" s="208" t="s">
        <v>426</v>
      </c>
      <c r="N59" s="218" t="s">
        <v>427</v>
      </c>
      <c r="O59" s="210">
        <v>3.15</v>
      </c>
      <c r="P59" s="208"/>
      <c r="Q59" s="211">
        <f>'приложение 1.1'!I58</f>
        <v>2.14</v>
      </c>
      <c r="R59" s="212">
        <v>0</v>
      </c>
      <c r="S59" s="212">
        <f t="shared" si="0"/>
        <v>1.4700000000000002</v>
      </c>
      <c r="T59" s="213">
        <v>0.55</v>
      </c>
      <c r="U59" s="213">
        <v>0.12</v>
      </c>
      <c r="V59" s="214"/>
      <c r="W59" s="214"/>
      <c r="X59" s="214"/>
      <c r="Y59" s="214"/>
      <c r="Z59" s="208"/>
      <c r="AA59" s="208"/>
      <c r="AB59" s="208"/>
      <c r="AC59" s="209"/>
      <c r="AD59" s="208">
        <v>2015</v>
      </c>
      <c r="AE59" s="208">
        <v>30</v>
      </c>
      <c r="AF59" s="208" t="s">
        <v>426</v>
      </c>
      <c r="AG59" s="218" t="s">
        <v>427</v>
      </c>
      <c r="AH59" s="210">
        <v>3.15</v>
      </c>
      <c r="AI59" s="215"/>
      <c r="AJ59" s="183"/>
    </row>
    <row r="60" spans="1:36" s="4" customFormat="1" ht="60" customHeight="1">
      <c r="A60" s="48" t="s">
        <v>153</v>
      </c>
      <c r="B60" s="68" t="s">
        <v>154</v>
      </c>
      <c r="C60" s="207"/>
      <c r="D60" s="207"/>
      <c r="E60" s="207"/>
      <c r="F60" s="207"/>
      <c r="G60" s="208"/>
      <c r="H60" s="208"/>
      <c r="I60" s="208"/>
      <c r="J60" s="209"/>
      <c r="K60" s="208">
        <v>1985</v>
      </c>
      <c r="L60" s="208" t="s">
        <v>431</v>
      </c>
      <c r="M60" s="208" t="s">
        <v>426</v>
      </c>
      <c r="N60" s="208" t="s">
        <v>419</v>
      </c>
      <c r="O60" s="210">
        <v>2.61</v>
      </c>
      <c r="P60" s="208"/>
      <c r="Q60" s="211">
        <f>'приложение 1.1'!I59</f>
        <v>18.34</v>
      </c>
      <c r="R60" s="212">
        <v>0</v>
      </c>
      <c r="S60" s="212">
        <f t="shared" si="0"/>
        <v>15.190000000000001</v>
      </c>
      <c r="T60" s="213">
        <v>3.13</v>
      </c>
      <c r="U60" s="213">
        <v>0.02</v>
      </c>
      <c r="V60" s="214"/>
      <c r="W60" s="214"/>
      <c r="X60" s="214"/>
      <c r="Y60" s="214"/>
      <c r="Z60" s="208"/>
      <c r="AA60" s="208"/>
      <c r="AB60" s="208"/>
      <c r="AC60" s="209"/>
      <c r="AD60" s="208">
        <v>2015</v>
      </c>
      <c r="AE60" s="208">
        <v>30</v>
      </c>
      <c r="AF60" s="208" t="s">
        <v>426</v>
      </c>
      <c r="AG60" s="208" t="s">
        <v>419</v>
      </c>
      <c r="AH60" s="210">
        <v>2.61</v>
      </c>
      <c r="AI60" s="215"/>
      <c r="AJ60" s="183"/>
    </row>
    <row r="61" spans="1:36" s="4" customFormat="1" ht="60" customHeight="1">
      <c r="A61" s="48" t="s">
        <v>155</v>
      </c>
      <c r="B61" s="69" t="s">
        <v>156</v>
      </c>
      <c r="C61" s="207"/>
      <c r="D61" s="207"/>
      <c r="E61" s="207"/>
      <c r="F61" s="207"/>
      <c r="G61" s="208"/>
      <c r="H61" s="208"/>
      <c r="I61" s="208"/>
      <c r="J61" s="209"/>
      <c r="K61" s="208">
        <v>1986</v>
      </c>
      <c r="L61" s="218" t="s">
        <v>431</v>
      </c>
      <c r="M61" s="218" t="s">
        <v>428</v>
      </c>
      <c r="N61" s="208" t="s">
        <v>419</v>
      </c>
      <c r="O61" s="210">
        <v>7.17</v>
      </c>
      <c r="P61" s="208"/>
      <c r="Q61" s="211">
        <f>'приложение 1.1'!I60</f>
        <v>0.95</v>
      </c>
      <c r="R61" s="212">
        <v>0</v>
      </c>
      <c r="S61" s="212">
        <f t="shared" si="0"/>
        <v>0.9199999999999999</v>
      </c>
      <c r="T61" s="213">
        <v>0.03</v>
      </c>
      <c r="U61" s="213">
        <v>0</v>
      </c>
      <c r="V61" s="214"/>
      <c r="W61" s="214"/>
      <c r="X61" s="214"/>
      <c r="Y61" s="214"/>
      <c r="Z61" s="208"/>
      <c r="AA61" s="208"/>
      <c r="AB61" s="208"/>
      <c r="AC61" s="209"/>
      <c r="AD61" s="208">
        <v>2015</v>
      </c>
      <c r="AE61" s="208">
        <v>30</v>
      </c>
      <c r="AF61" s="218" t="s">
        <v>428</v>
      </c>
      <c r="AG61" s="208" t="s">
        <v>419</v>
      </c>
      <c r="AH61" s="210">
        <v>7.17</v>
      </c>
      <c r="AI61" s="215"/>
      <c r="AJ61" s="183"/>
    </row>
    <row r="62" spans="1:36" s="4" customFormat="1" ht="60" customHeight="1">
      <c r="A62" s="48" t="s">
        <v>157</v>
      </c>
      <c r="B62" s="69" t="s">
        <v>158</v>
      </c>
      <c r="C62" s="207"/>
      <c r="D62" s="207"/>
      <c r="E62" s="207"/>
      <c r="F62" s="207"/>
      <c r="G62" s="208"/>
      <c r="H62" s="208"/>
      <c r="I62" s="208"/>
      <c r="J62" s="209"/>
      <c r="K62" s="208">
        <v>1999</v>
      </c>
      <c r="L62" s="208" t="s">
        <v>431</v>
      </c>
      <c r="M62" s="208" t="s">
        <v>426</v>
      </c>
      <c r="N62" s="208" t="s">
        <v>419</v>
      </c>
      <c r="O62" s="210">
        <v>0.06</v>
      </c>
      <c r="P62" s="208"/>
      <c r="Q62" s="211">
        <f>'приложение 1.1'!I61</f>
        <v>0.37</v>
      </c>
      <c r="R62" s="212">
        <v>0</v>
      </c>
      <c r="S62" s="212">
        <f t="shared" si="0"/>
        <v>0.19</v>
      </c>
      <c r="T62" s="213">
        <v>0.11</v>
      </c>
      <c r="U62" s="213">
        <v>0.07</v>
      </c>
      <c r="V62" s="214"/>
      <c r="W62" s="214"/>
      <c r="X62" s="214"/>
      <c r="Y62" s="214"/>
      <c r="Z62" s="208"/>
      <c r="AA62" s="208"/>
      <c r="AB62" s="208"/>
      <c r="AC62" s="209"/>
      <c r="AD62" s="208">
        <v>2015</v>
      </c>
      <c r="AE62" s="208">
        <v>30</v>
      </c>
      <c r="AF62" s="208" t="s">
        <v>426</v>
      </c>
      <c r="AG62" s="208" t="s">
        <v>419</v>
      </c>
      <c r="AH62" s="210">
        <v>0.06</v>
      </c>
      <c r="AI62" s="215"/>
      <c r="AJ62" s="183"/>
    </row>
    <row r="63" spans="1:36" s="4" customFormat="1" ht="60" customHeight="1">
      <c r="A63" s="48" t="s">
        <v>159</v>
      </c>
      <c r="B63" s="60" t="s">
        <v>160</v>
      </c>
      <c r="C63" s="207"/>
      <c r="D63" s="207"/>
      <c r="E63" s="207"/>
      <c r="F63" s="207"/>
      <c r="G63" s="208"/>
      <c r="H63" s="208"/>
      <c r="I63" s="208"/>
      <c r="J63" s="209"/>
      <c r="K63" s="208">
        <v>1971</v>
      </c>
      <c r="L63" s="208" t="s">
        <v>431</v>
      </c>
      <c r="M63" s="208" t="s">
        <v>418</v>
      </c>
      <c r="N63" s="208" t="s">
        <v>419</v>
      </c>
      <c r="O63" s="210">
        <v>1.97</v>
      </c>
      <c r="P63" s="208"/>
      <c r="Q63" s="211">
        <f>'приложение 1.1'!I62</f>
        <v>0.82</v>
      </c>
      <c r="R63" s="212">
        <v>0</v>
      </c>
      <c r="S63" s="212">
        <f t="shared" si="0"/>
        <v>0.5299999999999999</v>
      </c>
      <c r="T63" s="213">
        <v>0.28</v>
      </c>
      <c r="U63" s="213">
        <v>0.01</v>
      </c>
      <c r="V63" s="214"/>
      <c r="W63" s="214"/>
      <c r="X63" s="214"/>
      <c r="Y63" s="214"/>
      <c r="Z63" s="208"/>
      <c r="AA63" s="208"/>
      <c r="AB63" s="208"/>
      <c r="AC63" s="209"/>
      <c r="AD63" s="208">
        <v>2015</v>
      </c>
      <c r="AE63" s="208">
        <v>30</v>
      </c>
      <c r="AF63" s="208" t="s">
        <v>418</v>
      </c>
      <c r="AG63" s="208" t="s">
        <v>419</v>
      </c>
      <c r="AH63" s="210">
        <v>1.97</v>
      </c>
      <c r="AI63" s="215"/>
      <c r="AJ63" s="183"/>
    </row>
    <row r="64" spans="1:36" s="4" customFormat="1" ht="60" customHeight="1">
      <c r="A64" s="48" t="s">
        <v>161</v>
      </c>
      <c r="B64" s="60" t="s">
        <v>162</v>
      </c>
      <c r="C64" s="207"/>
      <c r="D64" s="207"/>
      <c r="E64" s="207"/>
      <c r="F64" s="207"/>
      <c r="G64" s="208"/>
      <c r="H64" s="208"/>
      <c r="I64" s="208"/>
      <c r="J64" s="209"/>
      <c r="K64" s="208">
        <v>1988</v>
      </c>
      <c r="L64" s="208" t="s">
        <v>431</v>
      </c>
      <c r="M64" s="208" t="s">
        <v>426</v>
      </c>
      <c r="N64" s="208" t="s">
        <v>432</v>
      </c>
      <c r="O64" s="210">
        <v>3.69</v>
      </c>
      <c r="P64" s="208"/>
      <c r="Q64" s="211">
        <f>'приложение 1.1'!I63</f>
        <v>1.04</v>
      </c>
      <c r="R64" s="212">
        <v>0</v>
      </c>
      <c r="S64" s="212">
        <f t="shared" si="0"/>
        <v>0.8400000000000001</v>
      </c>
      <c r="T64" s="213">
        <v>0.2</v>
      </c>
      <c r="U64" s="213">
        <v>0</v>
      </c>
      <c r="V64" s="214"/>
      <c r="W64" s="214"/>
      <c r="X64" s="214"/>
      <c r="Y64" s="214"/>
      <c r="Z64" s="208"/>
      <c r="AA64" s="208"/>
      <c r="AB64" s="208"/>
      <c r="AC64" s="209"/>
      <c r="AD64" s="208">
        <v>2015</v>
      </c>
      <c r="AE64" s="208">
        <v>30</v>
      </c>
      <c r="AF64" s="208" t="s">
        <v>426</v>
      </c>
      <c r="AG64" s="208" t="s">
        <v>432</v>
      </c>
      <c r="AH64" s="210">
        <v>3.69</v>
      </c>
      <c r="AI64" s="215"/>
      <c r="AJ64" s="183"/>
    </row>
    <row r="65" spans="1:36" s="4" customFormat="1" ht="60" customHeight="1">
      <c r="A65" s="48" t="s">
        <v>163</v>
      </c>
      <c r="B65" s="60" t="s">
        <v>164</v>
      </c>
      <c r="C65" s="207"/>
      <c r="D65" s="207"/>
      <c r="E65" s="207"/>
      <c r="F65" s="207"/>
      <c r="G65" s="208"/>
      <c r="H65" s="208"/>
      <c r="I65" s="208"/>
      <c r="J65" s="209"/>
      <c r="K65" s="208">
        <v>1986</v>
      </c>
      <c r="L65" s="208" t="s">
        <v>431</v>
      </c>
      <c r="M65" s="208" t="s">
        <v>426</v>
      </c>
      <c r="N65" s="208" t="s">
        <v>432</v>
      </c>
      <c r="O65" s="210">
        <v>2.83</v>
      </c>
      <c r="P65" s="208"/>
      <c r="Q65" s="211">
        <f>'приложение 1.1'!I64</f>
        <v>0.31</v>
      </c>
      <c r="R65" s="212">
        <v>0</v>
      </c>
      <c r="S65" s="212">
        <f t="shared" si="0"/>
        <v>0.26</v>
      </c>
      <c r="T65" s="213">
        <v>0.05</v>
      </c>
      <c r="U65" s="213">
        <v>0</v>
      </c>
      <c r="V65" s="214"/>
      <c r="W65" s="214"/>
      <c r="X65" s="214"/>
      <c r="Y65" s="214"/>
      <c r="Z65" s="208"/>
      <c r="AA65" s="208"/>
      <c r="AB65" s="208"/>
      <c r="AC65" s="209"/>
      <c r="AD65" s="208">
        <v>2015</v>
      </c>
      <c r="AE65" s="208">
        <v>30</v>
      </c>
      <c r="AF65" s="208" t="s">
        <v>426</v>
      </c>
      <c r="AG65" s="208" t="s">
        <v>432</v>
      </c>
      <c r="AH65" s="210">
        <v>2.83</v>
      </c>
      <c r="AI65" s="215"/>
      <c r="AJ65" s="183"/>
    </row>
    <row r="66" spans="1:36" s="4" customFormat="1" ht="60" customHeight="1">
      <c r="A66" s="48" t="s">
        <v>165</v>
      </c>
      <c r="B66" s="60" t="s">
        <v>166</v>
      </c>
      <c r="C66" s="207"/>
      <c r="D66" s="207"/>
      <c r="E66" s="207"/>
      <c r="F66" s="207"/>
      <c r="G66" s="208"/>
      <c r="H66" s="208"/>
      <c r="I66" s="208"/>
      <c r="J66" s="209"/>
      <c r="K66" s="208">
        <v>1992</v>
      </c>
      <c r="L66" s="208" t="s">
        <v>431</v>
      </c>
      <c r="M66" s="208" t="s">
        <v>426</v>
      </c>
      <c r="N66" s="208" t="s">
        <v>432</v>
      </c>
      <c r="O66" s="210">
        <v>4.21</v>
      </c>
      <c r="P66" s="208"/>
      <c r="Q66" s="211">
        <f>'приложение 1.1'!I65</f>
        <v>1.27</v>
      </c>
      <c r="R66" s="212">
        <v>0</v>
      </c>
      <c r="S66" s="212">
        <f t="shared" si="0"/>
        <v>0.96</v>
      </c>
      <c r="T66" s="213">
        <v>0.29</v>
      </c>
      <c r="U66" s="213">
        <v>0.02</v>
      </c>
      <c r="V66" s="214"/>
      <c r="W66" s="214"/>
      <c r="X66" s="214"/>
      <c r="Y66" s="214"/>
      <c r="Z66" s="208"/>
      <c r="AA66" s="208"/>
      <c r="AB66" s="208"/>
      <c r="AC66" s="209"/>
      <c r="AD66" s="208">
        <v>2015</v>
      </c>
      <c r="AE66" s="208">
        <v>30</v>
      </c>
      <c r="AF66" s="208" t="s">
        <v>426</v>
      </c>
      <c r="AG66" s="208" t="s">
        <v>432</v>
      </c>
      <c r="AH66" s="210">
        <v>4.21</v>
      </c>
      <c r="AI66" s="215"/>
      <c r="AJ66" s="183"/>
    </row>
    <row r="67" spans="1:36" s="4" customFormat="1" ht="60" customHeight="1">
      <c r="A67" s="48" t="s">
        <v>167</v>
      </c>
      <c r="B67" s="60" t="s">
        <v>168</v>
      </c>
      <c r="C67" s="207"/>
      <c r="D67" s="207"/>
      <c r="E67" s="207"/>
      <c r="F67" s="207"/>
      <c r="G67" s="208"/>
      <c r="H67" s="208"/>
      <c r="I67" s="208"/>
      <c r="J67" s="209"/>
      <c r="K67" s="208">
        <v>2009</v>
      </c>
      <c r="L67" s="208" t="s">
        <v>431</v>
      </c>
      <c r="M67" s="208" t="s">
        <v>426</v>
      </c>
      <c r="N67" s="208" t="s">
        <v>427</v>
      </c>
      <c r="O67" s="210">
        <v>0.99</v>
      </c>
      <c r="P67" s="208"/>
      <c r="Q67" s="211">
        <f>'приложение 1.1'!I66</f>
        <v>0.55</v>
      </c>
      <c r="R67" s="212">
        <v>0</v>
      </c>
      <c r="S67" s="212">
        <f t="shared" si="0"/>
        <v>0.42000000000000004</v>
      </c>
      <c r="T67" s="213">
        <v>0.13</v>
      </c>
      <c r="U67" s="213">
        <v>0</v>
      </c>
      <c r="V67" s="214"/>
      <c r="W67" s="214"/>
      <c r="X67" s="214"/>
      <c r="Y67" s="214"/>
      <c r="Z67" s="208"/>
      <c r="AA67" s="208"/>
      <c r="AB67" s="208"/>
      <c r="AC67" s="209"/>
      <c r="AD67" s="208">
        <v>2015</v>
      </c>
      <c r="AE67" s="208">
        <v>30</v>
      </c>
      <c r="AF67" s="208" t="s">
        <v>426</v>
      </c>
      <c r="AG67" s="208" t="s">
        <v>427</v>
      </c>
      <c r="AH67" s="210">
        <v>0.99</v>
      </c>
      <c r="AI67" s="215"/>
      <c r="AJ67" s="183"/>
    </row>
    <row r="68" spans="1:36" s="4" customFormat="1" ht="60" customHeight="1">
      <c r="A68" s="48" t="s">
        <v>169</v>
      </c>
      <c r="B68" s="68" t="s">
        <v>170</v>
      </c>
      <c r="C68" s="207"/>
      <c r="D68" s="207"/>
      <c r="E68" s="207"/>
      <c r="F68" s="207"/>
      <c r="G68" s="208"/>
      <c r="H68" s="208"/>
      <c r="I68" s="208"/>
      <c r="J68" s="209"/>
      <c r="K68" s="208">
        <v>1988</v>
      </c>
      <c r="L68" s="208" t="s">
        <v>431</v>
      </c>
      <c r="M68" s="208"/>
      <c r="N68" s="208" t="s">
        <v>433</v>
      </c>
      <c r="O68" s="210">
        <v>0.46</v>
      </c>
      <c r="P68" s="208"/>
      <c r="Q68" s="211">
        <f>'приложение 1.1'!I67</f>
        <v>0.43</v>
      </c>
      <c r="R68" s="212">
        <v>0</v>
      </c>
      <c r="S68" s="212">
        <f t="shared" si="0"/>
        <v>0.24</v>
      </c>
      <c r="T68" s="213">
        <v>0.18</v>
      </c>
      <c r="U68" s="213">
        <v>0.01</v>
      </c>
      <c r="V68" s="214"/>
      <c r="W68" s="214"/>
      <c r="X68" s="214"/>
      <c r="Y68" s="214"/>
      <c r="Z68" s="208"/>
      <c r="AA68" s="208"/>
      <c r="AB68" s="208"/>
      <c r="AC68" s="209"/>
      <c r="AD68" s="208">
        <v>2015</v>
      </c>
      <c r="AE68" s="208">
        <v>30</v>
      </c>
      <c r="AF68" s="208"/>
      <c r="AG68" s="208" t="s">
        <v>433</v>
      </c>
      <c r="AH68" s="210">
        <v>0.46</v>
      </c>
      <c r="AI68" s="215"/>
      <c r="AJ68" s="183"/>
    </row>
    <row r="69" spans="1:36" s="4" customFormat="1" ht="60" customHeight="1">
      <c r="A69" s="48" t="s">
        <v>171</v>
      </c>
      <c r="B69" s="70" t="s">
        <v>172</v>
      </c>
      <c r="C69" s="207"/>
      <c r="D69" s="207"/>
      <c r="E69" s="207"/>
      <c r="F69" s="207"/>
      <c r="G69" s="208"/>
      <c r="H69" s="208"/>
      <c r="I69" s="208"/>
      <c r="J69" s="209"/>
      <c r="K69" s="208">
        <v>1986</v>
      </c>
      <c r="L69" s="208" t="s">
        <v>431</v>
      </c>
      <c r="M69" s="208"/>
      <c r="N69" s="218" t="s">
        <v>434</v>
      </c>
      <c r="O69" s="210">
        <v>0.16</v>
      </c>
      <c r="P69" s="208"/>
      <c r="Q69" s="211">
        <f>'приложение 1.1'!I68</f>
        <v>0.34</v>
      </c>
      <c r="R69" s="212">
        <v>0</v>
      </c>
      <c r="S69" s="212">
        <f t="shared" si="0"/>
        <v>0.27</v>
      </c>
      <c r="T69" s="213">
        <v>0.05</v>
      </c>
      <c r="U69" s="213">
        <v>0.02</v>
      </c>
      <c r="V69" s="214"/>
      <c r="W69" s="214"/>
      <c r="X69" s="214"/>
      <c r="Y69" s="214"/>
      <c r="Z69" s="208"/>
      <c r="AA69" s="208"/>
      <c r="AB69" s="208"/>
      <c r="AC69" s="209"/>
      <c r="AD69" s="208">
        <v>2015</v>
      </c>
      <c r="AE69" s="208">
        <v>30</v>
      </c>
      <c r="AF69" s="208"/>
      <c r="AG69" s="218" t="s">
        <v>434</v>
      </c>
      <c r="AH69" s="210">
        <v>0.16</v>
      </c>
      <c r="AI69" s="215"/>
      <c r="AJ69" s="183"/>
    </row>
    <row r="70" spans="1:36" s="4" customFormat="1" ht="60" customHeight="1">
      <c r="A70" s="48" t="s">
        <v>173</v>
      </c>
      <c r="B70" s="68" t="s">
        <v>174</v>
      </c>
      <c r="C70" s="207"/>
      <c r="D70" s="207"/>
      <c r="E70" s="207"/>
      <c r="F70" s="207"/>
      <c r="G70" s="208"/>
      <c r="H70" s="208"/>
      <c r="I70" s="208"/>
      <c r="J70" s="209"/>
      <c r="K70" s="208">
        <v>1986</v>
      </c>
      <c r="L70" s="208" t="s">
        <v>431</v>
      </c>
      <c r="M70" s="208"/>
      <c r="N70" s="208" t="s">
        <v>435</v>
      </c>
      <c r="O70" s="210">
        <v>0.5</v>
      </c>
      <c r="P70" s="208"/>
      <c r="Q70" s="211">
        <f>'приложение 1.1'!I69</f>
        <v>0.62</v>
      </c>
      <c r="R70" s="212">
        <v>0</v>
      </c>
      <c r="S70" s="212">
        <f t="shared" si="0"/>
        <v>0.43999999999999995</v>
      </c>
      <c r="T70" s="213">
        <v>0.17</v>
      </c>
      <c r="U70" s="213">
        <v>0.01</v>
      </c>
      <c r="V70" s="214"/>
      <c r="W70" s="214"/>
      <c r="X70" s="214"/>
      <c r="Y70" s="214"/>
      <c r="Z70" s="208"/>
      <c r="AA70" s="208"/>
      <c r="AB70" s="208"/>
      <c r="AC70" s="209"/>
      <c r="AD70" s="208">
        <v>2015</v>
      </c>
      <c r="AE70" s="208">
        <v>30</v>
      </c>
      <c r="AF70" s="208"/>
      <c r="AG70" s="208" t="s">
        <v>435</v>
      </c>
      <c r="AH70" s="210">
        <v>0.5</v>
      </c>
      <c r="AI70" s="215"/>
      <c r="AJ70" s="183"/>
    </row>
    <row r="71" spans="1:36" s="4" customFormat="1" ht="60" customHeight="1">
      <c r="A71" s="48" t="s">
        <v>175</v>
      </c>
      <c r="B71" s="61" t="s">
        <v>176</v>
      </c>
      <c r="C71" s="207"/>
      <c r="D71" s="207"/>
      <c r="E71" s="207"/>
      <c r="F71" s="207"/>
      <c r="G71" s="208">
        <v>1982</v>
      </c>
      <c r="H71" s="208">
        <v>25</v>
      </c>
      <c r="I71" s="208">
        <v>2</v>
      </c>
      <c r="J71" s="210">
        <v>1.26</v>
      </c>
      <c r="K71" s="208"/>
      <c r="L71" s="208"/>
      <c r="M71" s="208"/>
      <c r="N71" s="208"/>
      <c r="O71" s="210"/>
      <c r="P71" s="208"/>
      <c r="Q71" s="211">
        <f>'приложение 1.1'!I70</f>
        <v>0.37</v>
      </c>
      <c r="R71" s="212">
        <v>0</v>
      </c>
      <c r="S71" s="212">
        <f t="shared" si="0"/>
        <v>0.019999999999999962</v>
      </c>
      <c r="T71" s="213">
        <f>ROUND(67844/1000000,2)</f>
        <v>0.07</v>
      </c>
      <c r="U71" s="213">
        <f>ROUND(276064/1000000,2)</f>
        <v>0.28</v>
      </c>
      <c r="V71" s="214"/>
      <c r="W71" s="214"/>
      <c r="X71" s="214"/>
      <c r="Y71" s="214"/>
      <c r="Z71" s="208">
        <v>2015</v>
      </c>
      <c r="AA71" s="208">
        <v>25</v>
      </c>
      <c r="AB71" s="208">
        <v>2</v>
      </c>
      <c r="AC71" s="210">
        <v>1.26</v>
      </c>
      <c r="AD71" s="208"/>
      <c r="AE71" s="208"/>
      <c r="AF71" s="208"/>
      <c r="AG71" s="208"/>
      <c r="AH71" s="210"/>
      <c r="AI71" s="215"/>
      <c r="AJ71" s="183"/>
    </row>
    <row r="72" spans="1:36" s="4" customFormat="1" ht="60" customHeight="1">
      <c r="A72" s="48" t="s">
        <v>177</v>
      </c>
      <c r="B72" s="61" t="s">
        <v>178</v>
      </c>
      <c r="C72" s="207"/>
      <c r="D72" s="207"/>
      <c r="E72" s="207"/>
      <c r="F72" s="207"/>
      <c r="G72" s="208">
        <v>1982</v>
      </c>
      <c r="H72" s="208">
        <v>25</v>
      </c>
      <c r="I72" s="208">
        <v>2</v>
      </c>
      <c r="J72" s="210">
        <v>1.26</v>
      </c>
      <c r="K72" s="208"/>
      <c r="L72" s="208"/>
      <c r="M72" s="208"/>
      <c r="N72" s="208"/>
      <c r="O72" s="210"/>
      <c r="P72" s="208"/>
      <c r="Q72" s="211">
        <f>'приложение 1.1'!I71</f>
        <v>0.35</v>
      </c>
      <c r="R72" s="212">
        <v>0</v>
      </c>
      <c r="S72" s="212">
        <f t="shared" si="0"/>
        <v>0</v>
      </c>
      <c r="T72" s="213">
        <f>ROUND(67844/1000000,2)</f>
        <v>0.07</v>
      </c>
      <c r="U72" s="213">
        <f>ROUND(276064/1000000,2)</f>
        <v>0.28</v>
      </c>
      <c r="V72" s="214"/>
      <c r="W72" s="214"/>
      <c r="X72" s="214"/>
      <c r="Y72" s="214"/>
      <c r="Z72" s="208">
        <v>2015</v>
      </c>
      <c r="AA72" s="208">
        <v>25</v>
      </c>
      <c r="AB72" s="208">
        <v>2</v>
      </c>
      <c r="AC72" s="210">
        <v>1.26</v>
      </c>
      <c r="AD72" s="208"/>
      <c r="AE72" s="208"/>
      <c r="AF72" s="208"/>
      <c r="AG72" s="208"/>
      <c r="AH72" s="210"/>
      <c r="AI72" s="215"/>
      <c r="AJ72" s="183"/>
    </row>
    <row r="73" spans="1:36" s="4" customFormat="1" ht="60" customHeight="1">
      <c r="A73" s="48" t="s">
        <v>179</v>
      </c>
      <c r="B73" s="61" t="s">
        <v>180</v>
      </c>
      <c r="C73" s="207"/>
      <c r="D73" s="207"/>
      <c r="E73" s="207"/>
      <c r="F73" s="207"/>
      <c r="G73" s="208">
        <v>1983</v>
      </c>
      <c r="H73" s="208">
        <v>25</v>
      </c>
      <c r="I73" s="208">
        <v>2</v>
      </c>
      <c r="J73" s="210">
        <v>2</v>
      </c>
      <c r="K73" s="208"/>
      <c r="L73" s="208"/>
      <c r="M73" s="208"/>
      <c r="N73" s="208"/>
      <c r="O73" s="210"/>
      <c r="P73" s="208"/>
      <c r="Q73" s="211">
        <f>'приложение 1.1'!I72</f>
        <v>2.3309999999999995</v>
      </c>
      <c r="R73" s="212">
        <v>0</v>
      </c>
      <c r="S73" s="212">
        <f t="shared" si="0"/>
        <v>0.5609999999999996</v>
      </c>
      <c r="T73" s="220">
        <f>ROUND((7904+71+1179534.48)/1000000,2)</f>
        <v>1.19</v>
      </c>
      <c r="U73" s="213">
        <f>ROUND(577839/1000000,2)</f>
        <v>0.58</v>
      </c>
      <c r="V73" s="214"/>
      <c r="W73" s="214"/>
      <c r="X73" s="214"/>
      <c r="Y73" s="214"/>
      <c r="Z73" s="208">
        <v>2015</v>
      </c>
      <c r="AA73" s="208">
        <v>25</v>
      </c>
      <c r="AB73" s="208">
        <v>2</v>
      </c>
      <c r="AC73" s="210">
        <v>2</v>
      </c>
      <c r="AD73" s="208"/>
      <c r="AE73" s="208"/>
      <c r="AF73" s="208"/>
      <c r="AG73" s="208"/>
      <c r="AH73" s="210"/>
      <c r="AI73" s="215"/>
      <c r="AJ73" s="183"/>
    </row>
    <row r="74" spans="1:36" s="4" customFormat="1" ht="60" customHeight="1">
      <c r="A74" s="48" t="s">
        <v>181</v>
      </c>
      <c r="B74" s="61" t="s">
        <v>182</v>
      </c>
      <c r="C74" s="207"/>
      <c r="D74" s="207"/>
      <c r="E74" s="207"/>
      <c r="F74" s="207"/>
      <c r="G74" s="208">
        <v>1985</v>
      </c>
      <c r="H74" s="208">
        <v>25</v>
      </c>
      <c r="I74" s="208">
        <v>2</v>
      </c>
      <c r="J74" s="210">
        <v>1.26</v>
      </c>
      <c r="K74" s="208"/>
      <c r="L74" s="208"/>
      <c r="M74" s="208"/>
      <c r="N74" s="208"/>
      <c r="O74" s="210"/>
      <c r="P74" s="208"/>
      <c r="Q74" s="211">
        <f>'приложение 1.1'!I73</f>
        <v>2.84</v>
      </c>
      <c r="R74" s="212">
        <v>0</v>
      </c>
      <c r="S74" s="212">
        <f t="shared" si="0"/>
        <v>1.2899999999999996</v>
      </c>
      <c r="T74" s="213">
        <f>ROUND(679428.69/1000000,2)</f>
        <v>0.68</v>
      </c>
      <c r="U74" s="213">
        <f>ROUND(871621/1000000,2)</f>
        <v>0.87</v>
      </c>
      <c r="V74" s="214"/>
      <c r="W74" s="214"/>
      <c r="X74" s="214"/>
      <c r="Y74" s="214"/>
      <c r="Z74" s="208">
        <v>2015</v>
      </c>
      <c r="AA74" s="208">
        <v>25</v>
      </c>
      <c r="AB74" s="208">
        <v>2</v>
      </c>
      <c r="AC74" s="210">
        <v>1.26</v>
      </c>
      <c r="AD74" s="208"/>
      <c r="AE74" s="208"/>
      <c r="AF74" s="208"/>
      <c r="AG74" s="208"/>
      <c r="AH74" s="210"/>
      <c r="AI74" s="215"/>
      <c r="AJ74" s="183"/>
    </row>
    <row r="75" spans="1:36" s="4" customFormat="1" ht="60" customHeight="1">
      <c r="A75" s="48" t="s">
        <v>183</v>
      </c>
      <c r="B75" s="61" t="s">
        <v>184</v>
      </c>
      <c r="C75" s="207"/>
      <c r="D75" s="207"/>
      <c r="E75" s="207"/>
      <c r="F75" s="207"/>
      <c r="G75" s="208">
        <v>1989</v>
      </c>
      <c r="H75" s="208">
        <v>25</v>
      </c>
      <c r="I75" s="208">
        <v>2</v>
      </c>
      <c r="J75" s="210">
        <v>2</v>
      </c>
      <c r="K75" s="208"/>
      <c r="L75" s="208"/>
      <c r="M75" s="208"/>
      <c r="N75" s="208"/>
      <c r="O75" s="210"/>
      <c r="P75" s="208"/>
      <c r="Q75" s="211">
        <f>'приложение 1.1'!I74</f>
        <v>0.29</v>
      </c>
      <c r="R75" s="212">
        <v>0</v>
      </c>
      <c r="S75" s="212">
        <f t="shared" si="0"/>
        <v>0.06</v>
      </c>
      <c r="T75" s="213">
        <f>ROUND(34632/1000000,2)</f>
        <v>0.03</v>
      </c>
      <c r="U75" s="213">
        <f>ROUND(197317/1000000,2)</f>
        <v>0.2</v>
      </c>
      <c r="V75" s="214"/>
      <c r="W75" s="214"/>
      <c r="X75" s="214"/>
      <c r="Y75" s="214"/>
      <c r="Z75" s="208">
        <v>2015</v>
      </c>
      <c r="AA75" s="208">
        <v>25</v>
      </c>
      <c r="AB75" s="208">
        <v>2</v>
      </c>
      <c r="AC75" s="210">
        <v>2</v>
      </c>
      <c r="AD75" s="208"/>
      <c r="AE75" s="208"/>
      <c r="AF75" s="208"/>
      <c r="AG75" s="208"/>
      <c r="AH75" s="210"/>
      <c r="AI75" s="215"/>
      <c r="AJ75" s="183"/>
    </row>
    <row r="76" spans="1:36" s="4" customFormat="1" ht="60" customHeight="1">
      <c r="A76" s="48" t="s">
        <v>185</v>
      </c>
      <c r="B76" s="61" t="s">
        <v>186</v>
      </c>
      <c r="C76" s="207"/>
      <c r="D76" s="207"/>
      <c r="E76" s="207"/>
      <c r="F76" s="207"/>
      <c r="G76" s="208">
        <v>1986</v>
      </c>
      <c r="H76" s="208">
        <v>25</v>
      </c>
      <c r="I76" s="208">
        <v>2</v>
      </c>
      <c r="J76" s="210">
        <v>0.8</v>
      </c>
      <c r="K76" s="208"/>
      <c r="L76" s="208"/>
      <c r="M76" s="208"/>
      <c r="N76" s="208"/>
      <c r="O76" s="210"/>
      <c r="P76" s="208"/>
      <c r="Q76" s="211">
        <f>'приложение 1.1'!I75</f>
        <v>0.29</v>
      </c>
      <c r="R76" s="212">
        <v>0</v>
      </c>
      <c r="S76" s="212">
        <f t="shared" si="0"/>
        <v>0.06</v>
      </c>
      <c r="T76" s="213">
        <f>ROUND(34632/1000000,2)</f>
        <v>0.03</v>
      </c>
      <c r="U76" s="213">
        <f>ROUND(197317/1000000,2)</f>
        <v>0.2</v>
      </c>
      <c r="V76" s="214"/>
      <c r="W76" s="214"/>
      <c r="X76" s="214"/>
      <c r="Y76" s="214"/>
      <c r="Z76" s="208">
        <v>2015</v>
      </c>
      <c r="AA76" s="208">
        <v>25</v>
      </c>
      <c r="AB76" s="208">
        <v>2</v>
      </c>
      <c r="AC76" s="210">
        <v>0.8</v>
      </c>
      <c r="AD76" s="208"/>
      <c r="AE76" s="208"/>
      <c r="AF76" s="208"/>
      <c r="AG76" s="208"/>
      <c r="AH76" s="210"/>
      <c r="AI76" s="215"/>
      <c r="AJ76" s="183"/>
    </row>
    <row r="77" spans="1:36" s="4" customFormat="1" ht="60" customHeight="1">
      <c r="A77" s="48" t="s">
        <v>187</v>
      </c>
      <c r="B77" s="61" t="s">
        <v>188</v>
      </c>
      <c r="C77" s="207"/>
      <c r="D77" s="207"/>
      <c r="E77" s="207"/>
      <c r="F77" s="207"/>
      <c r="G77" s="208">
        <v>1988</v>
      </c>
      <c r="H77" s="208">
        <v>25</v>
      </c>
      <c r="I77" s="208">
        <v>2</v>
      </c>
      <c r="J77" s="210">
        <v>1.26</v>
      </c>
      <c r="K77" s="208"/>
      <c r="L77" s="208"/>
      <c r="M77" s="208"/>
      <c r="N77" s="208"/>
      <c r="O77" s="210"/>
      <c r="P77" s="208"/>
      <c r="Q77" s="211">
        <f>'приложение 1.1'!W76</f>
        <v>1.53</v>
      </c>
      <c r="R77" s="212">
        <v>0</v>
      </c>
      <c r="S77" s="212">
        <f t="shared" si="0"/>
        <v>0.3500000000000001</v>
      </c>
      <c r="T77" s="213">
        <f>ROUND((34632+937793)/1000000,2)</f>
        <v>0.97</v>
      </c>
      <c r="U77" s="213">
        <f>ROUND((197317+16873)/1000000,2)</f>
        <v>0.21</v>
      </c>
      <c r="V77" s="214"/>
      <c r="W77" s="214"/>
      <c r="X77" s="214"/>
      <c r="Y77" s="214"/>
      <c r="Z77" s="208">
        <v>2016</v>
      </c>
      <c r="AA77" s="208">
        <v>25</v>
      </c>
      <c r="AB77" s="208">
        <v>2</v>
      </c>
      <c r="AC77" s="210">
        <v>2</v>
      </c>
      <c r="AD77" s="208"/>
      <c r="AE77" s="208"/>
      <c r="AF77" s="208"/>
      <c r="AG77" s="208"/>
      <c r="AH77" s="210"/>
      <c r="AI77" s="215"/>
      <c r="AJ77" s="183"/>
    </row>
    <row r="78" spans="1:36" s="4" customFormat="1" ht="60" customHeight="1">
      <c r="A78" s="48" t="s">
        <v>189</v>
      </c>
      <c r="B78" s="61" t="s">
        <v>190</v>
      </c>
      <c r="C78" s="207"/>
      <c r="D78" s="207"/>
      <c r="E78" s="207"/>
      <c r="F78" s="207"/>
      <c r="G78" s="208">
        <v>1987</v>
      </c>
      <c r="H78" s="208">
        <v>25</v>
      </c>
      <c r="I78" s="208">
        <v>2</v>
      </c>
      <c r="J78" s="210">
        <v>1.26</v>
      </c>
      <c r="K78" s="208"/>
      <c r="L78" s="208"/>
      <c r="M78" s="208"/>
      <c r="N78" s="208"/>
      <c r="O78" s="210"/>
      <c r="P78" s="208"/>
      <c r="Q78" s="211">
        <f>'приложение 1.1'!I77</f>
        <v>1.8</v>
      </c>
      <c r="R78" s="212">
        <v>0</v>
      </c>
      <c r="S78" s="212">
        <f t="shared" si="0"/>
        <v>0.37999999999999995</v>
      </c>
      <c r="T78" s="213">
        <f>ROUND(1098796/1000000,2)</f>
        <v>1.1</v>
      </c>
      <c r="U78" s="213">
        <f>ROUND(320071/1000000,2)</f>
        <v>0.32</v>
      </c>
      <c r="V78" s="214"/>
      <c r="W78" s="214"/>
      <c r="X78" s="214"/>
      <c r="Y78" s="214"/>
      <c r="Z78" s="208">
        <v>2015</v>
      </c>
      <c r="AA78" s="208">
        <v>25</v>
      </c>
      <c r="AB78" s="208">
        <v>2</v>
      </c>
      <c r="AC78" s="210">
        <v>1.26</v>
      </c>
      <c r="AD78" s="208"/>
      <c r="AE78" s="208"/>
      <c r="AF78" s="208"/>
      <c r="AG78" s="208"/>
      <c r="AH78" s="210"/>
      <c r="AI78" s="215"/>
      <c r="AJ78" s="183"/>
    </row>
    <row r="79" spans="1:36" s="4" customFormat="1" ht="60" customHeight="1">
      <c r="A79" s="48" t="s">
        <v>191</v>
      </c>
      <c r="B79" s="71" t="s">
        <v>192</v>
      </c>
      <c r="C79" s="207"/>
      <c r="D79" s="207"/>
      <c r="E79" s="207"/>
      <c r="F79" s="207"/>
      <c r="G79" s="208">
        <v>1986</v>
      </c>
      <c r="H79" s="208">
        <v>25</v>
      </c>
      <c r="I79" s="208">
        <v>2</v>
      </c>
      <c r="J79" s="210">
        <v>2</v>
      </c>
      <c r="K79" s="208"/>
      <c r="L79" s="208"/>
      <c r="M79" s="208"/>
      <c r="N79" s="208"/>
      <c r="O79" s="210"/>
      <c r="P79" s="208"/>
      <c r="Q79" s="211">
        <f>'приложение 1.1'!I78</f>
        <v>0.31</v>
      </c>
      <c r="R79" s="212">
        <v>0</v>
      </c>
      <c r="S79" s="212">
        <f t="shared" si="0"/>
        <v>0.06</v>
      </c>
      <c r="T79" s="213">
        <f>ROUND(47030/1000000,2)</f>
        <v>0.05</v>
      </c>
      <c r="U79" s="213">
        <f>ROUND(197317/1000000,2)</f>
        <v>0.2</v>
      </c>
      <c r="V79" s="214"/>
      <c r="W79" s="214"/>
      <c r="X79" s="214"/>
      <c r="Y79" s="214"/>
      <c r="Z79" s="208">
        <v>2015</v>
      </c>
      <c r="AA79" s="208">
        <v>25</v>
      </c>
      <c r="AB79" s="208">
        <v>2</v>
      </c>
      <c r="AC79" s="210">
        <v>2</v>
      </c>
      <c r="AD79" s="208"/>
      <c r="AE79" s="208"/>
      <c r="AF79" s="208"/>
      <c r="AG79" s="208"/>
      <c r="AH79" s="210"/>
      <c r="AI79" s="215"/>
      <c r="AJ79" s="183"/>
    </row>
    <row r="80" spans="1:36" s="4" customFormat="1" ht="60" customHeight="1">
      <c r="A80" s="48" t="s">
        <v>193</v>
      </c>
      <c r="B80" s="61" t="s">
        <v>194</v>
      </c>
      <c r="C80" s="207"/>
      <c r="D80" s="207"/>
      <c r="E80" s="207"/>
      <c r="F80" s="207"/>
      <c r="G80" s="208">
        <v>1987</v>
      </c>
      <c r="H80" s="208">
        <v>25</v>
      </c>
      <c r="I80" s="208">
        <v>2</v>
      </c>
      <c r="J80" s="210">
        <v>2</v>
      </c>
      <c r="K80" s="208"/>
      <c r="L80" s="208"/>
      <c r="M80" s="208"/>
      <c r="N80" s="208"/>
      <c r="O80" s="210"/>
      <c r="P80" s="208"/>
      <c r="Q80" s="211">
        <f>'приложение 1.1'!I79</f>
        <v>1.82</v>
      </c>
      <c r="R80" s="212">
        <v>0</v>
      </c>
      <c r="S80" s="212">
        <f t="shared" si="0"/>
        <v>1.76</v>
      </c>
      <c r="T80" s="213">
        <f>ROUND(47984/1000000,2)</f>
        <v>0.05</v>
      </c>
      <c r="U80" s="213">
        <f>ROUND(9627/1000000,2)</f>
        <v>0.01</v>
      </c>
      <c r="V80" s="214"/>
      <c r="W80" s="214"/>
      <c r="X80" s="214"/>
      <c r="Y80" s="214"/>
      <c r="Z80" s="208">
        <v>2015</v>
      </c>
      <c r="AA80" s="208">
        <v>25</v>
      </c>
      <c r="AB80" s="208">
        <v>2</v>
      </c>
      <c r="AC80" s="210">
        <v>2</v>
      </c>
      <c r="AD80" s="208"/>
      <c r="AE80" s="208"/>
      <c r="AF80" s="208"/>
      <c r="AG80" s="208"/>
      <c r="AH80" s="210"/>
      <c r="AI80" s="215"/>
      <c r="AJ80" s="183"/>
    </row>
    <row r="81" spans="1:36" s="4" customFormat="1" ht="60" customHeight="1">
      <c r="A81" s="48" t="s">
        <v>195</v>
      </c>
      <c r="B81" s="61" t="s">
        <v>196</v>
      </c>
      <c r="C81" s="207"/>
      <c r="D81" s="207"/>
      <c r="E81" s="207"/>
      <c r="F81" s="207"/>
      <c r="G81" s="208">
        <v>1984</v>
      </c>
      <c r="H81" s="208">
        <v>25</v>
      </c>
      <c r="I81" s="208">
        <v>2</v>
      </c>
      <c r="J81" s="210">
        <v>2</v>
      </c>
      <c r="K81" s="208"/>
      <c r="L81" s="208"/>
      <c r="M81" s="208"/>
      <c r="N81" s="208"/>
      <c r="O81" s="210"/>
      <c r="P81" s="208"/>
      <c r="Q81" s="211">
        <f>'приложение 1.1'!I80</f>
        <v>1.72</v>
      </c>
      <c r="R81" s="212">
        <v>0</v>
      </c>
      <c r="S81" s="212">
        <f t="shared" si="0"/>
        <v>0.37999999999999995</v>
      </c>
      <c r="T81" s="213">
        <f>ROUND(916938/1000000,2)</f>
        <v>0.92</v>
      </c>
      <c r="U81" s="213">
        <f>ROUND(417001/1000000,2)</f>
        <v>0.42</v>
      </c>
      <c r="V81" s="214"/>
      <c r="W81" s="214"/>
      <c r="X81" s="214"/>
      <c r="Y81" s="214"/>
      <c r="Z81" s="208">
        <v>2015</v>
      </c>
      <c r="AA81" s="208">
        <v>25</v>
      </c>
      <c r="AB81" s="208">
        <v>2</v>
      </c>
      <c r="AC81" s="210">
        <v>2</v>
      </c>
      <c r="AD81" s="208"/>
      <c r="AE81" s="208"/>
      <c r="AF81" s="208"/>
      <c r="AG81" s="208"/>
      <c r="AH81" s="210"/>
      <c r="AI81" s="215"/>
      <c r="AJ81" s="183"/>
    </row>
    <row r="82" spans="1:36" s="4" customFormat="1" ht="60" customHeight="1">
      <c r="A82" s="48" t="s">
        <v>197</v>
      </c>
      <c r="B82" s="61" t="s">
        <v>198</v>
      </c>
      <c r="C82" s="207"/>
      <c r="D82" s="207"/>
      <c r="E82" s="207"/>
      <c r="F82" s="207"/>
      <c r="G82" s="208">
        <v>1983</v>
      </c>
      <c r="H82" s="208">
        <v>25</v>
      </c>
      <c r="I82" s="208">
        <v>2</v>
      </c>
      <c r="J82" s="210">
        <v>2</v>
      </c>
      <c r="K82" s="208"/>
      <c r="L82" s="208"/>
      <c r="M82" s="208"/>
      <c r="N82" s="208"/>
      <c r="O82" s="210"/>
      <c r="P82" s="208"/>
      <c r="Q82" s="211">
        <f>'приложение 1.1'!I81</f>
        <v>0.3</v>
      </c>
      <c r="R82" s="212">
        <v>0</v>
      </c>
      <c r="S82" s="212">
        <f t="shared" si="0"/>
        <v>0.04999999999999999</v>
      </c>
      <c r="T82" s="213">
        <f>ROUND(52658/1000000,2)</f>
        <v>0.05</v>
      </c>
      <c r="U82" s="213">
        <f>ROUND(197317/1000000,2)</f>
        <v>0.2</v>
      </c>
      <c r="V82" s="214"/>
      <c r="W82" s="214"/>
      <c r="X82" s="214"/>
      <c r="Y82" s="214"/>
      <c r="Z82" s="208">
        <v>2015</v>
      </c>
      <c r="AA82" s="208">
        <v>25</v>
      </c>
      <c r="AB82" s="208">
        <v>2</v>
      </c>
      <c r="AC82" s="210">
        <v>2</v>
      </c>
      <c r="AD82" s="208"/>
      <c r="AE82" s="208"/>
      <c r="AF82" s="208"/>
      <c r="AG82" s="208"/>
      <c r="AH82" s="210"/>
      <c r="AI82" s="215"/>
      <c r="AJ82" s="183"/>
    </row>
    <row r="83" spans="1:36" s="4" customFormat="1" ht="60" customHeight="1">
      <c r="A83" s="48" t="s">
        <v>199</v>
      </c>
      <c r="B83" s="61" t="s">
        <v>200</v>
      </c>
      <c r="C83" s="207"/>
      <c r="D83" s="207"/>
      <c r="E83" s="207"/>
      <c r="F83" s="207"/>
      <c r="G83" s="208">
        <v>1988</v>
      </c>
      <c r="H83" s="208">
        <v>25</v>
      </c>
      <c r="I83" s="208">
        <v>2</v>
      </c>
      <c r="J83" s="210">
        <v>1.26</v>
      </c>
      <c r="K83" s="208"/>
      <c r="L83" s="208"/>
      <c r="M83" s="208"/>
      <c r="N83" s="208"/>
      <c r="O83" s="210"/>
      <c r="P83" s="208"/>
      <c r="Q83" s="211">
        <f>'приложение 1.1'!I82</f>
        <v>2.09</v>
      </c>
      <c r="R83" s="212">
        <v>0</v>
      </c>
      <c r="S83" s="212">
        <f t="shared" si="0"/>
        <v>0.5299999999999998</v>
      </c>
      <c r="T83" s="213">
        <f>ROUND(1072801/1000000,2)</f>
        <v>1.07</v>
      </c>
      <c r="U83" s="213">
        <f>ROUND(494889/1000000,2)</f>
        <v>0.49</v>
      </c>
      <c r="V83" s="214"/>
      <c r="W83" s="214"/>
      <c r="X83" s="214"/>
      <c r="Y83" s="214"/>
      <c r="Z83" s="208">
        <v>2015</v>
      </c>
      <c r="AA83" s="208">
        <v>25</v>
      </c>
      <c r="AB83" s="208">
        <v>2</v>
      </c>
      <c r="AC83" s="210">
        <v>1.26</v>
      </c>
      <c r="AD83" s="208"/>
      <c r="AE83" s="208"/>
      <c r="AF83" s="208"/>
      <c r="AG83" s="208"/>
      <c r="AH83" s="210"/>
      <c r="AI83" s="215"/>
      <c r="AJ83" s="183"/>
    </row>
    <row r="84" spans="1:36" s="4" customFormat="1" ht="60" customHeight="1">
      <c r="A84" s="48" t="s">
        <v>201</v>
      </c>
      <c r="B84" s="61" t="s">
        <v>202</v>
      </c>
      <c r="C84" s="207"/>
      <c r="D84" s="207"/>
      <c r="E84" s="207"/>
      <c r="F84" s="207"/>
      <c r="G84" s="208">
        <v>1987</v>
      </c>
      <c r="H84" s="208">
        <v>25</v>
      </c>
      <c r="I84" s="208">
        <v>2</v>
      </c>
      <c r="J84" s="210">
        <v>1.26</v>
      </c>
      <c r="K84" s="208"/>
      <c r="L84" s="208"/>
      <c r="M84" s="208"/>
      <c r="N84" s="208"/>
      <c r="O84" s="210"/>
      <c r="P84" s="208"/>
      <c r="Q84" s="211">
        <f>'приложение 1.1'!I83</f>
        <v>2.3084</v>
      </c>
      <c r="R84" s="212">
        <v>0</v>
      </c>
      <c r="S84" s="212">
        <f t="shared" si="0"/>
        <v>0.6683999999999998</v>
      </c>
      <c r="T84" s="220">
        <f>ROUND((1235519.76)/1000000,2)</f>
        <v>1.24</v>
      </c>
      <c r="U84" s="213">
        <f>ROUND(396858/1000000,2)</f>
        <v>0.4</v>
      </c>
      <c r="V84" s="214"/>
      <c r="W84" s="214"/>
      <c r="X84" s="214"/>
      <c r="Y84" s="214"/>
      <c r="Z84" s="208">
        <v>2015</v>
      </c>
      <c r="AA84" s="208">
        <v>25</v>
      </c>
      <c r="AB84" s="208">
        <v>2</v>
      </c>
      <c r="AC84" s="210">
        <v>1.26</v>
      </c>
      <c r="AD84" s="208"/>
      <c r="AE84" s="208"/>
      <c r="AF84" s="208"/>
      <c r="AG84" s="208"/>
      <c r="AH84" s="210"/>
      <c r="AI84" s="215"/>
      <c r="AJ84" s="183"/>
    </row>
    <row r="85" spans="1:36" s="4" customFormat="1" ht="60" customHeight="1">
      <c r="A85" s="48" t="s">
        <v>203</v>
      </c>
      <c r="B85" s="61" t="s">
        <v>204</v>
      </c>
      <c r="C85" s="207"/>
      <c r="D85" s="207"/>
      <c r="E85" s="207"/>
      <c r="F85" s="207"/>
      <c r="G85" s="208">
        <v>1991</v>
      </c>
      <c r="H85" s="208">
        <v>25</v>
      </c>
      <c r="I85" s="208">
        <v>2</v>
      </c>
      <c r="J85" s="210">
        <v>2</v>
      </c>
      <c r="K85" s="208"/>
      <c r="L85" s="208"/>
      <c r="M85" s="208"/>
      <c r="N85" s="208"/>
      <c r="O85" s="210"/>
      <c r="P85" s="208"/>
      <c r="Q85" s="211">
        <f>'приложение 1.1'!I84</f>
        <v>1.4766</v>
      </c>
      <c r="R85" s="212">
        <v>0</v>
      </c>
      <c r="S85" s="212">
        <f t="shared" si="0"/>
        <v>0.5865999999999999</v>
      </c>
      <c r="T85" s="213">
        <f>ROUND(488875.56/1000000,2)</f>
        <v>0.49</v>
      </c>
      <c r="U85" s="213">
        <f>ROUND(401909/1000000,2)</f>
        <v>0.4</v>
      </c>
      <c r="V85" s="214"/>
      <c r="W85" s="214"/>
      <c r="X85" s="214"/>
      <c r="Y85" s="214"/>
      <c r="Z85" s="208">
        <v>2016</v>
      </c>
      <c r="AA85" s="208">
        <v>25</v>
      </c>
      <c r="AB85" s="208">
        <v>2</v>
      </c>
      <c r="AC85" s="210">
        <v>2</v>
      </c>
      <c r="AD85" s="208"/>
      <c r="AE85" s="208"/>
      <c r="AF85" s="208"/>
      <c r="AG85" s="208"/>
      <c r="AH85" s="210"/>
      <c r="AI85" s="215"/>
      <c r="AJ85" s="183"/>
    </row>
    <row r="86" spans="1:36" s="4" customFormat="1" ht="60" customHeight="1">
      <c r="A86" s="48" t="s">
        <v>205</v>
      </c>
      <c r="B86" s="60" t="s">
        <v>206</v>
      </c>
      <c r="C86" s="207"/>
      <c r="D86" s="207"/>
      <c r="E86" s="207"/>
      <c r="F86" s="207"/>
      <c r="G86" s="208">
        <v>1994</v>
      </c>
      <c r="H86" s="208">
        <v>25</v>
      </c>
      <c r="I86" s="208">
        <v>2</v>
      </c>
      <c r="J86" s="210">
        <v>2</v>
      </c>
      <c r="K86" s="208"/>
      <c r="L86" s="208"/>
      <c r="M86" s="208"/>
      <c r="N86" s="208"/>
      <c r="O86" s="210"/>
      <c r="P86" s="208"/>
      <c r="Q86" s="211">
        <f>'приложение 1.1'!I85</f>
        <v>2.7906</v>
      </c>
      <c r="R86" s="212">
        <v>0</v>
      </c>
      <c r="S86" s="212">
        <f t="shared" si="0"/>
        <v>0.8505999999999999</v>
      </c>
      <c r="T86" s="220">
        <f>ROUND((1085839.8)/1000000,2)</f>
        <v>1.09</v>
      </c>
      <c r="U86" s="213">
        <f>ROUND((851986)/1000000,2)</f>
        <v>0.85</v>
      </c>
      <c r="V86" s="214"/>
      <c r="W86" s="214"/>
      <c r="X86" s="214"/>
      <c r="Y86" s="214"/>
      <c r="Z86" s="208">
        <v>2016</v>
      </c>
      <c r="AA86" s="208">
        <v>25</v>
      </c>
      <c r="AB86" s="208">
        <v>2</v>
      </c>
      <c r="AC86" s="210">
        <v>2</v>
      </c>
      <c r="AD86" s="208"/>
      <c r="AE86" s="208"/>
      <c r="AF86" s="208"/>
      <c r="AG86" s="208"/>
      <c r="AH86" s="210"/>
      <c r="AI86" s="215"/>
      <c r="AJ86" s="183"/>
    </row>
    <row r="87" spans="1:36" s="4" customFormat="1" ht="60" customHeight="1">
      <c r="A87" s="48" t="s">
        <v>207</v>
      </c>
      <c r="B87" s="61" t="s">
        <v>208</v>
      </c>
      <c r="C87" s="207"/>
      <c r="D87" s="207"/>
      <c r="E87" s="207"/>
      <c r="F87" s="207"/>
      <c r="G87" s="208">
        <v>1994</v>
      </c>
      <c r="H87" s="208">
        <v>25</v>
      </c>
      <c r="I87" s="208">
        <v>2</v>
      </c>
      <c r="J87" s="210">
        <v>2</v>
      </c>
      <c r="K87" s="208"/>
      <c r="L87" s="208"/>
      <c r="M87" s="208"/>
      <c r="N87" s="208"/>
      <c r="O87" s="210"/>
      <c r="P87" s="208"/>
      <c r="Q87" s="211">
        <f>'приложение 1.1'!I86</f>
        <v>1.63</v>
      </c>
      <c r="R87" s="212">
        <v>0</v>
      </c>
      <c r="S87" s="212">
        <f t="shared" si="0"/>
        <v>0.32999999999999985</v>
      </c>
      <c r="T87" s="213">
        <f>ROUND(908614/1000000,2)</f>
        <v>0.91</v>
      </c>
      <c r="U87" s="213">
        <f>ROUND(389808/1000000,2)</f>
        <v>0.39</v>
      </c>
      <c r="V87" s="214"/>
      <c r="W87" s="214"/>
      <c r="X87" s="214"/>
      <c r="Y87" s="214"/>
      <c r="Z87" s="208">
        <v>2015</v>
      </c>
      <c r="AA87" s="208">
        <v>25</v>
      </c>
      <c r="AB87" s="208">
        <v>2</v>
      </c>
      <c r="AC87" s="210">
        <v>2</v>
      </c>
      <c r="AD87" s="208"/>
      <c r="AE87" s="208"/>
      <c r="AF87" s="208"/>
      <c r="AG87" s="208"/>
      <c r="AH87" s="210"/>
      <c r="AI87" s="215"/>
      <c r="AJ87" s="183"/>
    </row>
    <row r="88" spans="1:36" s="4" customFormat="1" ht="60" customHeight="1">
      <c r="A88" s="48" t="s">
        <v>209</v>
      </c>
      <c r="B88" s="60" t="s">
        <v>210</v>
      </c>
      <c r="C88" s="207"/>
      <c r="D88" s="207"/>
      <c r="E88" s="207"/>
      <c r="F88" s="207"/>
      <c r="G88" s="208">
        <v>1999</v>
      </c>
      <c r="H88" s="208">
        <v>25</v>
      </c>
      <c r="I88" s="208">
        <v>2</v>
      </c>
      <c r="J88" s="210">
        <v>1.26</v>
      </c>
      <c r="K88" s="208"/>
      <c r="L88" s="208"/>
      <c r="M88" s="208"/>
      <c r="N88" s="208"/>
      <c r="O88" s="210"/>
      <c r="P88" s="208"/>
      <c r="Q88" s="211">
        <f>'приложение 1.1'!I87</f>
        <v>1.06</v>
      </c>
      <c r="R88" s="212">
        <v>0</v>
      </c>
      <c r="S88" s="212">
        <f t="shared" si="0"/>
        <v>0.91</v>
      </c>
      <c r="T88" s="220">
        <f>ROUND((107547+6236)/1000000,2)</f>
        <v>0.11</v>
      </c>
      <c r="U88" s="213">
        <f>ROUND((42587)/1000000,2)</f>
        <v>0.04</v>
      </c>
      <c r="V88" s="214"/>
      <c r="W88" s="214"/>
      <c r="X88" s="214"/>
      <c r="Y88" s="214"/>
      <c r="Z88" s="208">
        <v>2015</v>
      </c>
      <c r="AA88" s="208">
        <v>25</v>
      </c>
      <c r="AB88" s="208">
        <v>2</v>
      </c>
      <c r="AC88" s="210">
        <v>1.26</v>
      </c>
      <c r="AD88" s="208"/>
      <c r="AE88" s="208"/>
      <c r="AF88" s="208"/>
      <c r="AG88" s="208"/>
      <c r="AH88" s="210"/>
      <c r="AI88" s="215"/>
      <c r="AJ88" s="183"/>
    </row>
    <row r="89" spans="1:36" s="4" customFormat="1" ht="60" customHeight="1">
      <c r="A89" s="48" t="s">
        <v>211</v>
      </c>
      <c r="B89" s="62" t="s">
        <v>212</v>
      </c>
      <c r="C89" s="207"/>
      <c r="D89" s="207"/>
      <c r="E89" s="207"/>
      <c r="F89" s="207"/>
      <c r="G89" s="218">
        <v>1988</v>
      </c>
      <c r="H89" s="218">
        <v>25</v>
      </c>
      <c r="I89" s="218">
        <v>2</v>
      </c>
      <c r="J89" s="210">
        <v>2</v>
      </c>
      <c r="K89" s="208"/>
      <c r="L89" s="208"/>
      <c r="M89" s="208"/>
      <c r="N89" s="208"/>
      <c r="O89" s="210"/>
      <c r="P89" s="208"/>
      <c r="Q89" s="211">
        <f>'приложение 1.1'!I88</f>
        <v>2.1288</v>
      </c>
      <c r="R89" s="212">
        <v>0</v>
      </c>
      <c r="S89" s="221">
        <f t="shared" si="0"/>
        <v>0.6687999999999998</v>
      </c>
      <c r="T89" s="220">
        <f>ROUND(1119520.46/1000000,2)</f>
        <v>1.12</v>
      </c>
      <c r="U89" s="220">
        <f>ROUND(339578/1000000,2)</f>
        <v>0.34</v>
      </c>
      <c r="V89" s="214"/>
      <c r="W89" s="214"/>
      <c r="X89" s="214"/>
      <c r="Y89" s="214"/>
      <c r="Z89" s="218">
        <v>2016</v>
      </c>
      <c r="AA89" s="218">
        <v>25</v>
      </c>
      <c r="AB89" s="218">
        <v>2</v>
      </c>
      <c r="AC89" s="210">
        <v>2</v>
      </c>
      <c r="AD89" s="208"/>
      <c r="AE89" s="208"/>
      <c r="AF89" s="208"/>
      <c r="AG89" s="208"/>
      <c r="AH89" s="210"/>
      <c r="AI89" s="215"/>
      <c r="AJ89" s="183"/>
    </row>
    <row r="90" spans="1:36" s="4" customFormat="1" ht="60" customHeight="1">
      <c r="A90" s="48" t="s">
        <v>213</v>
      </c>
      <c r="B90" s="61" t="s">
        <v>214</v>
      </c>
      <c r="C90" s="207"/>
      <c r="D90" s="207"/>
      <c r="E90" s="207"/>
      <c r="F90" s="207"/>
      <c r="G90" s="208">
        <v>1989</v>
      </c>
      <c r="H90" s="208">
        <v>25</v>
      </c>
      <c r="I90" s="208">
        <v>2</v>
      </c>
      <c r="J90" s="210">
        <v>2</v>
      </c>
      <c r="K90" s="208"/>
      <c r="L90" s="208"/>
      <c r="M90" s="208"/>
      <c r="N90" s="208"/>
      <c r="O90" s="210"/>
      <c r="P90" s="208"/>
      <c r="Q90" s="211">
        <f>'приложение 1.1'!I89</f>
        <v>1.91</v>
      </c>
      <c r="R90" s="212">
        <v>0</v>
      </c>
      <c r="S90" s="212">
        <f t="shared" si="0"/>
        <v>0.45999999999999985</v>
      </c>
      <c r="T90" s="213">
        <f>ROUND(1073663/1000000,2)</f>
        <v>1.07</v>
      </c>
      <c r="U90" s="213">
        <f>ROUND(379364/1000000,2)</f>
        <v>0.38</v>
      </c>
      <c r="V90" s="214"/>
      <c r="W90" s="214"/>
      <c r="X90" s="214"/>
      <c r="Y90" s="214"/>
      <c r="Z90" s="208">
        <v>2015</v>
      </c>
      <c r="AA90" s="208">
        <v>25</v>
      </c>
      <c r="AB90" s="208">
        <v>2</v>
      </c>
      <c r="AC90" s="210">
        <v>2</v>
      </c>
      <c r="AD90" s="208"/>
      <c r="AE90" s="208"/>
      <c r="AF90" s="208"/>
      <c r="AG90" s="208"/>
      <c r="AH90" s="210"/>
      <c r="AI90" s="215"/>
      <c r="AJ90" s="183"/>
    </row>
    <row r="91" spans="1:36" s="4" customFormat="1" ht="60" customHeight="1">
      <c r="A91" s="48" t="s">
        <v>215</v>
      </c>
      <c r="B91" s="61" t="s">
        <v>216</v>
      </c>
      <c r="C91" s="207"/>
      <c r="D91" s="207"/>
      <c r="E91" s="207"/>
      <c r="F91" s="207"/>
      <c r="G91" s="208">
        <v>1991</v>
      </c>
      <c r="H91" s="208">
        <v>25</v>
      </c>
      <c r="I91" s="208">
        <v>2</v>
      </c>
      <c r="J91" s="210">
        <v>1.26</v>
      </c>
      <c r="K91" s="208"/>
      <c r="L91" s="208"/>
      <c r="M91" s="208"/>
      <c r="N91" s="208"/>
      <c r="O91" s="210"/>
      <c r="P91" s="208"/>
      <c r="Q91" s="211">
        <f>'приложение 1.1'!I90</f>
        <v>0.46</v>
      </c>
      <c r="R91" s="212">
        <v>0</v>
      </c>
      <c r="S91" s="212">
        <f t="shared" si="0"/>
        <v>0.2</v>
      </c>
      <c r="T91" s="213">
        <f>ROUND(226383.68/1000000,2)</f>
        <v>0.23</v>
      </c>
      <c r="U91" s="213">
        <f>ROUND(25711/1000000,2)</f>
        <v>0.03</v>
      </c>
      <c r="V91" s="214"/>
      <c r="W91" s="214"/>
      <c r="X91" s="214"/>
      <c r="Y91" s="214"/>
      <c r="Z91" s="208">
        <v>2015</v>
      </c>
      <c r="AA91" s="208">
        <v>25</v>
      </c>
      <c r="AB91" s="208">
        <v>2</v>
      </c>
      <c r="AC91" s="210">
        <v>1.26</v>
      </c>
      <c r="AD91" s="208"/>
      <c r="AE91" s="208"/>
      <c r="AF91" s="208"/>
      <c r="AG91" s="208"/>
      <c r="AH91" s="210"/>
      <c r="AI91" s="215"/>
      <c r="AJ91" s="183"/>
    </row>
    <row r="92" spans="1:36" s="4" customFormat="1" ht="60" customHeight="1">
      <c r="A92" s="48" t="s">
        <v>217</v>
      </c>
      <c r="B92" s="72" t="s">
        <v>218</v>
      </c>
      <c r="C92" s="207"/>
      <c r="D92" s="207"/>
      <c r="E92" s="207"/>
      <c r="F92" s="207"/>
      <c r="G92" s="218">
        <v>1991</v>
      </c>
      <c r="H92" s="218">
        <v>25</v>
      </c>
      <c r="I92" s="218">
        <v>2</v>
      </c>
      <c r="J92" s="209">
        <v>1.26</v>
      </c>
      <c r="K92" s="208"/>
      <c r="L92" s="208"/>
      <c r="M92" s="208"/>
      <c r="N92" s="208"/>
      <c r="O92" s="210"/>
      <c r="P92" s="208"/>
      <c r="Q92" s="211">
        <f>'приложение 1.1'!I91</f>
        <v>3.3802</v>
      </c>
      <c r="R92" s="212">
        <v>0</v>
      </c>
      <c r="S92" s="221">
        <f t="shared" si="0"/>
        <v>0.9202000000000001</v>
      </c>
      <c r="T92" s="220">
        <f>ROUND((1186577.8+858900)/1000000,2)</f>
        <v>2.05</v>
      </c>
      <c r="U92" s="220">
        <f>ROUND((396858+16873)/1000000,2)</f>
        <v>0.41</v>
      </c>
      <c r="V92" s="214"/>
      <c r="W92" s="214"/>
      <c r="X92" s="214"/>
      <c r="Y92" s="214"/>
      <c r="Z92" s="218">
        <v>2015</v>
      </c>
      <c r="AA92" s="218">
        <v>25</v>
      </c>
      <c r="AB92" s="218">
        <v>2</v>
      </c>
      <c r="AC92" s="209">
        <v>1.26</v>
      </c>
      <c r="AD92" s="208"/>
      <c r="AE92" s="208"/>
      <c r="AF92" s="208"/>
      <c r="AG92" s="208"/>
      <c r="AH92" s="210"/>
      <c r="AI92" s="215"/>
      <c r="AJ92" s="183"/>
    </row>
    <row r="93" spans="1:36" s="4" customFormat="1" ht="60" customHeight="1">
      <c r="A93" s="48" t="s">
        <v>219</v>
      </c>
      <c r="B93" s="61" t="s">
        <v>220</v>
      </c>
      <c r="C93" s="207"/>
      <c r="D93" s="207"/>
      <c r="E93" s="207"/>
      <c r="F93" s="207"/>
      <c r="G93" s="208">
        <v>1994</v>
      </c>
      <c r="H93" s="208">
        <v>25</v>
      </c>
      <c r="I93" s="208">
        <v>2</v>
      </c>
      <c r="J93" s="210">
        <v>0.32</v>
      </c>
      <c r="K93" s="208"/>
      <c r="L93" s="208"/>
      <c r="M93" s="208"/>
      <c r="N93" s="208"/>
      <c r="O93" s="210"/>
      <c r="P93" s="208"/>
      <c r="Q93" s="211">
        <f>'приложение 1.1'!I92</f>
        <v>0.6554</v>
      </c>
      <c r="R93" s="212">
        <v>0</v>
      </c>
      <c r="S93" s="212">
        <f t="shared" si="0"/>
        <v>0.2754</v>
      </c>
      <c r="T93" s="220">
        <f>ROUND((165909.1)/1000000,2)</f>
        <v>0.17</v>
      </c>
      <c r="U93" s="213">
        <f>ROUND(207546/1000000,2)</f>
        <v>0.21</v>
      </c>
      <c r="V93" s="214"/>
      <c r="W93" s="214"/>
      <c r="X93" s="214"/>
      <c r="Y93" s="214"/>
      <c r="Z93" s="208">
        <v>2016</v>
      </c>
      <c r="AA93" s="208">
        <v>25</v>
      </c>
      <c r="AB93" s="208">
        <v>2</v>
      </c>
      <c r="AC93" s="210">
        <v>0.32</v>
      </c>
      <c r="AD93" s="208"/>
      <c r="AE93" s="208"/>
      <c r="AF93" s="208"/>
      <c r="AG93" s="208"/>
      <c r="AH93" s="210"/>
      <c r="AI93" s="215"/>
      <c r="AJ93" s="183"/>
    </row>
    <row r="94" spans="1:36" s="4" customFormat="1" ht="60" customHeight="1">
      <c r="A94" s="48" t="s">
        <v>221</v>
      </c>
      <c r="B94" s="112" t="s">
        <v>222</v>
      </c>
      <c r="C94" s="207"/>
      <c r="D94" s="207"/>
      <c r="E94" s="207"/>
      <c r="F94" s="207"/>
      <c r="G94" s="208">
        <v>2006</v>
      </c>
      <c r="H94" s="208">
        <v>25</v>
      </c>
      <c r="I94" s="208">
        <v>2</v>
      </c>
      <c r="J94" s="210">
        <v>1.26</v>
      </c>
      <c r="K94" s="208"/>
      <c r="L94" s="208"/>
      <c r="M94" s="208"/>
      <c r="N94" s="208"/>
      <c r="O94" s="210"/>
      <c r="P94" s="208"/>
      <c r="Q94" s="211">
        <f>'приложение 1.1'!I93</f>
        <v>1.58</v>
      </c>
      <c r="R94" s="212">
        <v>0</v>
      </c>
      <c r="S94" s="212">
        <f t="shared" si="0"/>
        <v>0.3</v>
      </c>
      <c r="T94" s="213">
        <f>ROUND(1085238/1000000,2)</f>
        <v>1.09</v>
      </c>
      <c r="U94" s="213">
        <f>ROUND(186799/1000000,2)</f>
        <v>0.19</v>
      </c>
      <c r="V94" s="214"/>
      <c r="W94" s="214"/>
      <c r="X94" s="214"/>
      <c r="Y94" s="214"/>
      <c r="Z94" s="208">
        <v>2015</v>
      </c>
      <c r="AA94" s="208">
        <v>25</v>
      </c>
      <c r="AB94" s="208">
        <v>2</v>
      </c>
      <c r="AC94" s="210">
        <v>1.26</v>
      </c>
      <c r="AD94" s="208"/>
      <c r="AE94" s="208"/>
      <c r="AF94" s="208"/>
      <c r="AG94" s="208"/>
      <c r="AH94" s="210"/>
      <c r="AI94" s="215"/>
      <c r="AJ94" s="183"/>
    </row>
    <row r="95" spans="1:36" s="4" customFormat="1" ht="60" customHeight="1">
      <c r="A95" s="48" t="s">
        <v>223</v>
      </c>
      <c r="B95" s="112" t="s">
        <v>224</v>
      </c>
      <c r="C95" s="207"/>
      <c r="D95" s="207"/>
      <c r="E95" s="207"/>
      <c r="F95" s="207"/>
      <c r="G95" s="208">
        <v>1999</v>
      </c>
      <c r="H95" s="208">
        <v>25</v>
      </c>
      <c r="I95" s="208">
        <v>2</v>
      </c>
      <c r="J95" s="210">
        <v>1.26</v>
      </c>
      <c r="K95" s="208"/>
      <c r="L95" s="208"/>
      <c r="M95" s="208"/>
      <c r="N95" s="208"/>
      <c r="O95" s="210"/>
      <c r="P95" s="208"/>
      <c r="Q95" s="211">
        <f>'приложение 1.1'!I94</f>
        <v>0.07</v>
      </c>
      <c r="R95" s="212">
        <v>0</v>
      </c>
      <c r="S95" s="212">
        <f t="shared" si="0"/>
        <v>0.020000000000000004</v>
      </c>
      <c r="T95" s="213">
        <f>ROUND(37664.96/1000000,2)</f>
        <v>0.04</v>
      </c>
      <c r="U95" s="213">
        <f>ROUND(9614/1000000,2)</f>
        <v>0.01</v>
      </c>
      <c r="V95" s="214"/>
      <c r="W95" s="214"/>
      <c r="X95" s="214"/>
      <c r="Y95" s="214"/>
      <c r="Z95" s="208">
        <v>2015</v>
      </c>
      <c r="AA95" s="208">
        <v>25</v>
      </c>
      <c r="AB95" s="208">
        <v>2</v>
      </c>
      <c r="AC95" s="210">
        <v>1.26</v>
      </c>
      <c r="AD95" s="208"/>
      <c r="AE95" s="208"/>
      <c r="AF95" s="208"/>
      <c r="AG95" s="208"/>
      <c r="AH95" s="210"/>
      <c r="AI95" s="215"/>
      <c r="AJ95" s="183"/>
    </row>
    <row r="96" spans="1:36" s="4" customFormat="1" ht="60" customHeight="1">
      <c r="A96" s="48" t="s">
        <v>225</v>
      </c>
      <c r="B96" s="112" t="s">
        <v>226</v>
      </c>
      <c r="C96" s="207"/>
      <c r="D96" s="207"/>
      <c r="E96" s="207"/>
      <c r="F96" s="207"/>
      <c r="G96" s="208">
        <v>2002</v>
      </c>
      <c r="H96" s="208">
        <v>25</v>
      </c>
      <c r="I96" s="208">
        <v>2</v>
      </c>
      <c r="J96" s="210">
        <v>1.26</v>
      </c>
      <c r="K96" s="208"/>
      <c r="L96" s="208"/>
      <c r="M96" s="208"/>
      <c r="N96" s="208"/>
      <c r="O96" s="210"/>
      <c r="P96" s="208"/>
      <c r="Q96" s="211">
        <f>'приложение 1.1'!I95</f>
        <v>0.8488</v>
      </c>
      <c r="R96" s="212">
        <v>0</v>
      </c>
      <c r="S96" s="212">
        <f t="shared" si="0"/>
        <v>0.29879999999999995</v>
      </c>
      <c r="T96" s="213">
        <f>ROUND(309288.62/1000000,2)</f>
        <v>0.31</v>
      </c>
      <c r="U96" s="213">
        <f>ROUND(235342.77/1000000,2)</f>
        <v>0.24</v>
      </c>
      <c r="V96" s="214"/>
      <c r="W96" s="214"/>
      <c r="X96" s="214"/>
      <c r="Y96" s="214"/>
      <c r="Z96" s="208">
        <v>2016</v>
      </c>
      <c r="AA96" s="208">
        <v>25</v>
      </c>
      <c r="AB96" s="208">
        <v>2</v>
      </c>
      <c r="AC96" s="210">
        <v>1.26</v>
      </c>
      <c r="AD96" s="208"/>
      <c r="AE96" s="208"/>
      <c r="AF96" s="208"/>
      <c r="AG96" s="208"/>
      <c r="AH96" s="210"/>
      <c r="AI96" s="215"/>
      <c r="AJ96" s="183"/>
    </row>
    <row r="97" spans="1:36" s="4" customFormat="1" ht="60" customHeight="1">
      <c r="A97" s="48" t="s">
        <v>227</v>
      </c>
      <c r="B97" s="72" t="s">
        <v>228</v>
      </c>
      <c r="C97" s="207"/>
      <c r="D97" s="207"/>
      <c r="E97" s="207"/>
      <c r="F97" s="207"/>
      <c r="G97" s="218">
        <v>2006</v>
      </c>
      <c r="H97" s="218">
        <v>25</v>
      </c>
      <c r="I97" s="218">
        <v>2</v>
      </c>
      <c r="J97" s="210">
        <v>2</v>
      </c>
      <c r="K97" s="208"/>
      <c r="L97" s="208"/>
      <c r="M97" s="208"/>
      <c r="N97" s="208"/>
      <c r="O97" s="210"/>
      <c r="P97" s="208"/>
      <c r="Q97" s="211">
        <f>'приложение 1.1'!I96</f>
        <v>2.2302</v>
      </c>
      <c r="R97" s="212">
        <v>0</v>
      </c>
      <c r="S97" s="221">
        <f t="shared" si="0"/>
        <v>0.6302</v>
      </c>
      <c r="T97" s="220">
        <f>ROUND(259948/1000000*4.62,2)</f>
        <v>1.2</v>
      </c>
      <c r="U97" s="220">
        <f>ROUND(396858/1000000,2)</f>
        <v>0.4</v>
      </c>
      <c r="V97" s="214"/>
      <c r="W97" s="214"/>
      <c r="X97" s="214"/>
      <c r="Y97" s="214"/>
      <c r="Z97" s="218">
        <v>2015</v>
      </c>
      <c r="AA97" s="218">
        <v>25</v>
      </c>
      <c r="AB97" s="218">
        <v>2</v>
      </c>
      <c r="AC97" s="210">
        <v>2</v>
      </c>
      <c r="AD97" s="208"/>
      <c r="AE97" s="208"/>
      <c r="AF97" s="208"/>
      <c r="AG97" s="208"/>
      <c r="AH97" s="210"/>
      <c r="AI97" s="215"/>
      <c r="AJ97" s="183"/>
    </row>
    <row r="98" spans="1:36" s="4" customFormat="1" ht="60" customHeight="1">
      <c r="A98" s="48" t="s">
        <v>229</v>
      </c>
      <c r="B98" s="60" t="s">
        <v>230</v>
      </c>
      <c r="C98" s="207"/>
      <c r="D98" s="207"/>
      <c r="E98" s="207"/>
      <c r="F98" s="207"/>
      <c r="G98" s="208">
        <v>2006</v>
      </c>
      <c r="H98" s="208">
        <v>25</v>
      </c>
      <c r="I98" s="208">
        <v>2</v>
      </c>
      <c r="J98" s="210">
        <v>0.8</v>
      </c>
      <c r="K98" s="208"/>
      <c r="L98" s="208"/>
      <c r="M98" s="208"/>
      <c r="N98" s="208"/>
      <c r="O98" s="210"/>
      <c r="P98" s="208"/>
      <c r="Q98" s="211">
        <f>'приложение 1.1'!I97</f>
        <v>0.47</v>
      </c>
      <c r="R98" s="212">
        <v>0</v>
      </c>
      <c r="S98" s="212">
        <f t="shared" si="0"/>
        <v>0.32999999999999996</v>
      </c>
      <c r="T98" s="213">
        <f>ROUND(122745/1000000,2)</f>
        <v>0.12</v>
      </c>
      <c r="U98" s="213">
        <f>0.02</f>
        <v>0.02</v>
      </c>
      <c r="V98" s="214"/>
      <c r="W98" s="214"/>
      <c r="X98" s="214"/>
      <c r="Y98" s="214"/>
      <c r="Z98" s="208">
        <v>2015</v>
      </c>
      <c r="AA98" s="208">
        <v>25</v>
      </c>
      <c r="AB98" s="208">
        <v>2</v>
      </c>
      <c r="AC98" s="210">
        <v>0.8</v>
      </c>
      <c r="AD98" s="208"/>
      <c r="AE98" s="208"/>
      <c r="AF98" s="208"/>
      <c r="AG98" s="208"/>
      <c r="AH98" s="210"/>
      <c r="AI98" s="215"/>
      <c r="AJ98" s="183"/>
    </row>
    <row r="99" spans="1:36" s="4" customFormat="1" ht="60" customHeight="1">
      <c r="A99" s="48" t="s">
        <v>231</v>
      </c>
      <c r="B99" s="72" t="s">
        <v>232</v>
      </c>
      <c r="C99" s="207"/>
      <c r="D99" s="207"/>
      <c r="E99" s="207"/>
      <c r="F99" s="207"/>
      <c r="G99" s="218">
        <v>2001</v>
      </c>
      <c r="H99" s="218">
        <v>25</v>
      </c>
      <c r="I99" s="218">
        <v>2</v>
      </c>
      <c r="J99" s="209">
        <v>1.26</v>
      </c>
      <c r="K99" s="208"/>
      <c r="L99" s="208"/>
      <c r="M99" s="208"/>
      <c r="N99" s="208"/>
      <c r="O99" s="210"/>
      <c r="P99" s="208"/>
      <c r="Q99" s="211">
        <f>'приложение 1.1'!I98</f>
        <v>0.64</v>
      </c>
      <c r="R99" s="212">
        <v>0</v>
      </c>
      <c r="S99" s="221">
        <f t="shared" si="0"/>
        <v>0.20000000000000004</v>
      </c>
      <c r="T99" s="220">
        <f>ROUND(46271/1000000*4.62,2)</f>
        <v>0.21</v>
      </c>
      <c r="U99" s="220">
        <f>ROUND(225855/1000000,2)</f>
        <v>0.23</v>
      </c>
      <c r="V99" s="214"/>
      <c r="W99" s="214"/>
      <c r="X99" s="214"/>
      <c r="Y99" s="214"/>
      <c r="Z99" s="218">
        <v>2015</v>
      </c>
      <c r="AA99" s="218">
        <v>25</v>
      </c>
      <c r="AB99" s="218">
        <v>2</v>
      </c>
      <c r="AC99" s="209">
        <v>1.26</v>
      </c>
      <c r="AD99" s="208"/>
      <c r="AE99" s="208"/>
      <c r="AF99" s="208"/>
      <c r="AG99" s="208"/>
      <c r="AH99" s="210"/>
      <c r="AI99" s="215"/>
      <c r="AJ99" s="183"/>
    </row>
    <row r="100" spans="1:36" s="4" customFormat="1" ht="60" customHeight="1">
      <c r="A100" s="48" t="s">
        <v>233</v>
      </c>
      <c r="B100" s="58" t="s">
        <v>234</v>
      </c>
      <c r="C100" s="207"/>
      <c r="D100" s="207"/>
      <c r="E100" s="207"/>
      <c r="F100" s="207"/>
      <c r="G100" s="218">
        <v>1997</v>
      </c>
      <c r="H100" s="218">
        <v>25</v>
      </c>
      <c r="I100" s="218">
        <v>1</v>
      </c>
      <c r="J100" s="209">
        <v>0.25</v>
      </c>
      <c r="K100" s="208"/>
      <c r="L100" s="208"/>
      <c r="M100" s="208"/>
      <c r="N100" s="208"/>
      <c r="O100" s="210"/>
      <c r="P100" s="208"/>
      <c r="Q100" s="211">
        <f>'приложение 1.1'!I99</f>
        <v>0.5074</v>
      </c>
      <c r="R100" s="212">
        <v>0</v>
      </c>
      <c r="S100" s="221">
        <f t="shared" si="0"/>
        <v>0.17739999999999997</v>
      </c>
      <c r="T100" s="220">
        <f>ROUND(64037/1000000*4.62,2)</f>
        <v>0.3</v>
      </c>
      <c r="U100" s="220">
        <f>ROUND(27030/1000000,2)</f>
        <v>0.03</v>
      </c>
      <c r="V100" s="214"/>
      <c r="W100" s="214"/>
      <c r="X100" s="214"/>
      <c r="Y100" s="214"/>
      <c r="Z100" s="218">
        <v>2015</v>
      </c>
      <c r="AA100" s="218">
        <v>25</v>
      </c>
      <c r="AB100" s="218">
        <v>1</v>
      </c>
      <c r="AC100" s="209">
        <v>0.16</v>
      </c>
      <c r="AD100" s="208"/>
      <c r="AE100" s="208"/>
      <c r="AF100" s="208"/>
      <c r="AG100" s="208"/>
      <c r="AH100" s="210"/>
      <c r="AI100" s="215"/>
      <c r="AJ100" s="183"/>
    </row>
    <row r="101" spans="1:36" s="4" customFormat="1" ht="60" customHeight="1">
      <c r="A101" s="48" t="s">
        <v>235</v>
      </c>
      <c r="B101" s="57" t="s">
        <v>236</v>
      </c>
      <c r="C101" s="207"/>
      <c r="D101" s="207"/>
      <c r="E101" s="207"/>
      <c r="F101" s="207"/>
      <c r="G101" s="208">
        <v>1983</v>
      </c>
      <c r="H101" s="208">
        <v>25</v>
      </c>
      <c r="I101" s="208">
        <v>1</v>
      </c>
      <c r="J101" s="210">
        <v>0.25</v>
      </c>
      <c r="K101" s="208"/>
      <c r="L101" s="208"/>
      <c r="M101" s="208"/>
      <c r="N101" s="208"/>
      <c r="O101" s="210"/>
      <c r="P101" s="208"/>
      <c r="Q101" s="211">
        <f>'приложение 1.1'!I100</f>
        <v>0.36</v>
      </c>
      <c r="R101" s="212">
        <v>0</v>
      </c>
      <c r="S101" s="212">
        <f t="shared" si="0"/>
        <v>0.21</v>
      </c>
      <c r="T101" s="213">
        <f>ROUND(118204/1000000,2)</f>
        <v>0.12</v>
      </c>
      <c r="U101" s="213">
        <f>ROUND(31218/1000000,2)</f>
        <v>0.03</v>
      </c>
      <c r="V101" s="214"/>
      <c r="W101" s="214"/>
      <c r="X101" s="214"/>
      <c r="Y101" s="214"/>
      <c r="Z101" s="208">
        <v>2015</v>
      </c>
      <c r="AA101" s="208">
        <v>25</v>
      </c>
      <c r="AB101" s="208">
        <v>1</v>
      </c>
      <c r="AC101" s="210">
        <v>0.25</v>
      </c>
      <c r="AD101" s="208"/>
      <c r="AE101" s="208"/>
      <c r="AF101" s="208"/>
      <c r="AG101" s="208"/>
      <c r="AH101" s="210"/>
      <c r="AI101" s="215"/>
      <c r="AJ101" s="183"/>
    </row>
    <row r="102" spans="1:36" s="4" customFormat="1" ht="60" customHeight="1">
      <c r="A102" s="48" t="s">
        <v>237</v>
      </c>
      <c r="B102" s="58" t="s">
        <v>238</v>
      </c>
      <c r="C102" s="207"/>
      <c r="D102" s="207"/>
      <c r="E102" s="207"/>
      <c r="F102" s="207"/>
      <c r="G102" s="218">
        <v>1988</v>
      </c>
      <c r="H102" s="218">
        <v>25</v>
      </c>
      <c r="I102" s="218">
        <v>1</v>
      </c>
      <c r="J102" s="209">
        <v>0.25</v>
      </c>
      <c r="K102" s="208"/>
      <c r="L102" s="208"/>
      <c r="M102" s="208"/>
      <c r="N102" s="208"/>
      <c r="O102" s="210"/>
      <c r="P102" s="208"/>
      <c r="Q102" s="211">
        <f>'приложение 1.1'!I101</f>
        <v>0.6372</v>
      </c>
      <c r="R102" s="212">
        <v>0</v>
      </c>
      <c r="S102" s="221">
        <f t="shared" si="0"/>
        <v>0.21719999999999998</v>
      </c>
      <c r="T102" s="220">
        <f>ROUND(84426/1000000*4.62,2)</f>
        <v>0.39</v>
      </c>
      <c r="U102" s="220">
        <f>ROUND(27810/1000000,2)</f>
        <v>0.03</v>
      </c>
      <c r="V102" s="214"/>
      <c r="W102" s="214"/>
      <c r="X102" s="214"/>
      <c r="Y102" s="214"/>
      <c r="Z102" s="218">
        <v>2015</v>
      </c>
      <c r="AA102" s="218">
        <v>25</v>
      </c>
      <c r="AB102" s="218">
        <v>1</v>
      </c>
      <c r="AC102" s="209">
        <v>0.4</v>
      </c>
      <c r="AD102" s="208"/>
      <c r="AE102" s="208"/>
      <c r="AF102" s="208"/>
      <c r="AG102" s="208"/>
      <c r="AH102" s="210"/>
      <c r="AI102" s="215"/>
      <c r="AJ102" s="183"/>
    </row>
    <row r="103" spans="1:36" s="4" customFormat="1" ht="60" customHeight="1">
      <c r="A103" s="48" t="s">
        <v>239</v>
      </c>
      <c r="B103" s="61" t="s">
        <v>240</v>
      </c>
      <c r="C103" s="207"/>
      <c r="D103" s="207"/>
      <c r="E103" s="207"/>
      <c r="F103" s="207"/>
      <c r="G103" s="208">
        <v>1984</v>
      </c>
      <c r="H103" s="208">
        <v>25</v>
      </c>
      <c r="I103" s="208">
        <v>1</v>
      </c>
      <c r="J103" s="210">
        <v>0.63</v>
      </c>
      <c r="K103" s="208"/>
      <c r="L103" s="208"/>
      <c r="M103" s="208"/>
      <c r="N103" s="208"/>
      <c r="O103" s="210"/>
      <c r="P103" s="208"/>
      <c r="Q103" s="211">
        <f>'приложение 1.1'!I102</f>
        <v>0.44</v>
      </c>
      <c r="R103" s="212">
        <v>0</v>
      </c>
      <c r="S103" s="212">
        <f t="shared" si="0"/>
        <v>0.10999999999999997</v>
      </c>
      <c r="T103" s="213">
        <f>ROUND(276251/1000000,2)</f>
        <v>0.28</v>
      </c>
      <c r="U103" s="213">
        <f>ROUND(48194/1000000,2)</f>
        <v>0.05</v>
      </c>
      <c r="V103" s="214"/>
      <c r="W103" s="214"/>
      <c r="X103" s="214"/>
      <c r="Y103" s="214"/>
      <c r="Z103" s="208">
        <v>2015</v>
      </c>
      <c r="AA103" s="208">
        <v>25</v>
      </c>
      <c r="AB103" s="208">
        <v>1</v>
      </c>
      <c r="AC103" s="210">
        <v>0.25</v>
      </c>
      <c r="AD103" s="208"/>
      <c r="AE103" s="208"/>
      <c r="AF103" s="208"/>
      <c r="AG103" s="208"/>
      <c r="AH103" s="210"/>
      <c r="AI103" s="215"/>
      <c r="AJ103" s="183"/>
    </row>
    <row r="104" spans="1:36" s="4" customFormat="1" ht="60" customHeight="1">
      <c r="A104" s="74" t="s">
        <v>241</v>
      </c>
      <c r="B104" s="61" t="s">
        <v>242</v>
      </c>
      <c r="C104" s="207"/>
      <c r="D104" s="207"/>
      <c r="E104" s="207"/>
      <c r="F104" s="207"/>
      <c r="G104" s="208">
        <v>2006</v>
      </c>
      <c r="H104" s="208">
        <v>25</v>
      </c>
      <c r="I104" s="208">
        <v>2</v>
      </c>
      <c r="J104" s="210">
        <v>1.26</v>
      </c>
      <c r="K104" s="208"/>
      <c r="L104" s="208"/>
      <c r="M104" s="208"/>
      <c r="N104" s="208"/>
      <c r="O104" s="210"/>
      <c r="P104" s="208"/>
      <c r="Q104" s="211">
        <f>'приложение 1.1'!I103</f>
        <v>2.11</v>
      </c>
      <c r="R104" s="212">
        <v>0</v>
      </c>
      <c r="S104" s="212">
        <f t="shared" si="0"/>
        <v>0.37999999999999995</v>
      </c>
      <c r="T104" s="213">
        <f>ROUND(1395892/1000000,2)</f>
        <v>1.4</v>
      </c>
      <c r="U104" s="213">
        <f>ROUND(329552/1000000,2)</f>
        <v>0.33</v>
      </c>
      <c r="V104" s="214"/>
      <c r="W104" s="214"/>
      <c r="X104" s="214"/>
      <c r="Y104" s="214"/>
      <c r="Z104" s="208">
        <v>2015</v>
      </c>
      <c r="AA104" s="208">
        <v>25</v>
      </c>
      <c r="AB104" s="208">
        <v>2</v>
      </c>
      <c r="AC104" s="210">
        <v>2.26</v>
      </c>
      <c r="AD104" s="208"/>
      <c r="AE104" s="208"/>
      <c r="AF104" s="208"/>
      <c r="AG104" s="208"/>
      <c r="AH104" s="210"/>
      <c r="AI104" s="215"/>
      <c r="AJ104" s="183"/>
    </row>
    <row r="105" spans="1:36" s="4" customFormat="1" ht="60" customHeight="1">
      <c r="A105" s="74" t="s">
        <v>243</v>
      </c>
      <c r="B105" s="222" t="s">
        <v>244</v>
      </c>
      <c r="C105" s="207"/>
      <c r="D105" s="207"/>
      <c r="E105" s="207"/>
      <c r="F105" s="207"/>
      <c r="G105" s="208">
        <v>2004</v>
      </c>
      <c r="H105" s="208">
        <v>25</v>
      </c>
      <c r="I105" s="208">
        <v>1</v>
      </c>
      <c r="J105" s="210">
        <v>0.4</v>
      </c>
      <c r="K105" s="208"/>
      <c r="L105" s="208"/>
      <c r="M105" s="208"/>
      <c r="N105" s="208"/>
      <c r="O105" s="210"/>
      <c r="P105" s="208"/>
      <c r="Q105" s="211">
        <f>'приложение 1.1'!I104</f>
        <v>0.12</v>
      </c>
      <c r="R105" s="212">
        <v>0</v>
      </c>
      <c r="S105" s="212">
        <f t="shared" si="0"/>
        <v>0.06999999999999999</v>
      </c>
      <c r="T105" s="213">
        <f>ROUND(28832/1000000,2)</f>
        <v>0.03</v>
      </c>
      <c r="U105" s="213">
        <f>ROUND(20949/1000000,2)</f>
        <v>0.02</v>
      </c>
      <c r="V105" s="214"/>
      <c r="W105" s="214"/>
      <c r="X105" s="214"/>
      <c r="Y105" s="214"/>
      <c r="Z105" s="208">
        <v>2015</v>
      </c>
      <c r="AA105" s="208">
        <v>25</v>
      </c>
      <c r="AB105" s="208">
        <v>1</v>
      </c>
      <c r="AC105" s="210">
        <v>0.4</v>
      </c>
      <c r="AD105" s="208"/>
      <c r="AE105" s="208"/>
      <c r="AF105" s="208"/>
      <c r="AG105" s="208"/>
      <c r="AH105" s="210"/>
      <c r="AI105" s="215"/>
      <c r="AJ105" s="183"/>
    </row>
    <row r="106" spans="1:36" s="4" customFormat="1" ht="60" customHeight="1">
      <c r="A106" s="74" t="s">
        <v>245</v>
      </c>
      <c r="B106" s="71" t="s">
        <v>246</v>
      </c>
      <c r="C106" s="207"/>
      <c r="D106" s="207"/>
      <c r="E106" s="207"/>
      <c r="F106" s="207"/>
      <c r="G106" s="208">
        <v>1988</v>
      </c>
      <c r="H106" s="208">
        <v>25</v>
      </c>
      <c r="I106" s="208">
        <v>2</v>
      </c>
      <c r="J106" s="210">
        <v>0.8</v>
      </c>
      <c r="K106" s="208"/>
      <c r="L106" s="208"/>
      <c r="M106" s="208"/>
      <c r="N106" s="208"/>
      <c r="O106" s="210"/>
      <c r="P106" s="208"/>
      <c r="Q106" s="211">
        <f>'приложение 1.1'!I105</f>
        <v>0.27</v>
      </c>
      <c r="R106" s="212">
        <v>0</v>
      </c>
      <c r="S106" s="212">
        <f t="shared" si="0"/>
        <v>0.13</v>
      </c>
      <c r="T106" s="213">
        <f>ROUND(95427/1000000,2)</f>
        <v>0.1</v>
      </c>
      <c r="U106" s="213">
        <f>ROUND(39898/1000000,2)</f>
        <v>0.04</v>
      </c>
      <c r="V106" s="214"/>
      <c r="W106" s="214"/>
      <c r="X106" s="214"/>
      <c r="Y106" s="214"/>
      <c r="Z106" s="208">
        <v>2015</v>
      </c>
      <c r="AA106" s="208">
        <v>25</v>
      </c>
      <c r="AB106" s="208">
        <v>2</v>
      </c>
      <c r="AC106" s="210">
        <v>0.8</v>
      </c>
      <c r="AD106" s="208"/>
      <c r="AE106" s="208"/>
      <c r="AF106" s="208"/>
      <c r="AG106" s="208"/>
      <c r="AH106" s="210"/>
      <c r="AI106" s="215"/>
      <c r="AJ106" s="183"/>
    </row>
    <row r="107" spans="1:36" s="4" customFormat="1" ht="60" customHeight="1">
      <c r="A107" s="74" t="s">
        <v>247</v>
      </c>
      <c r="B107" s="60" t="s">
        <v>248</v>
      </c>
      <c r="C107" s="207"/>
      <c r="D107" s="207"/>
      <c r="E107" s="207"/>
      <c r="F107" s="207"/>
      <c r="G107" s="208">
        <v>1992</v>
      </c>
      <c r="H107" s="208">
        <v>25</v>
      </c>
      <c r="I107" s="208">
        <v>1</v>
      </c>
      <c r="J107" s="210">
        <v>0.25</v>
      </c>
      <c r="K107" s="208"/>
      <c r="L107" s="208"/>
      <c r="M107" s="208"/>
      <c r="N107" s="208"/>
      <c r="O107" s="210"/>
      <c r="P107" s="208"/>
      <c r="Q107" s="211">
        <f>'приложение 1.1'!I106</f>
        <v>0.18</v>
      </c>
      <c r="R107" s="212">
        <v>0</v>
      </c>
      <c r="S107" s="212">
        <f t="shared" si="0"/>
        <v>0.07999999999999999</v>
      </c>
      <c r="T107" s="213">
        <f>ROUND(104229/1000000,2)</f>
        <v>0.1</v>
      </c>
      <c r="U107" s="213">
        <f>ROUND(0/1000000*4.91,2)</f>
        <v>0</v>
      </c>
      <c r="V107" s="214"/>
      <c r="W107" s="214"/>
      <c r="X107" s="214"/>
      <c r="Y107" s="214"/>
      <c r="Z107" s="208">
        <v>2015</v>
      </c>
      <c r="AA107" s="208">
        <v>25</v>
      </c>
      <c r="AB107" s="208">
        <v>1</v>
      </c>
      <c r="AC107" s="210">
        <v>0.25</v>
      </c>
      <c r="AD107" s="208"/>
      <c r="AE107" s="208"/>
      <c r="AF107" s="208"/>
      <c r="AG107" s="208"/>
      <c r="AH107" s="210"/>
      <c r="AI107" s="215"/>
      <c r="AJ107" s="183"/>
    </row>
    <row r="108" spans="1:36" s="4" customFormat="1" ht="60" customHeight="1">
      <c r="A108" s="74" t="s">
        <v>249</v>
      </c>
      <c r="B108" s="112" t="s">
        <v>250</v>
      </c>
      <c r="C108" s="207"/>
      <c r="D108" s="207"/>
      <c r="E108" s="207"/>
      <c r="F108" s="207"/>
      <c r="G108" s="208">
        <v>1990</v>
      </c>
      <c r="H108" s="208">
        <v>25</v>
      </c>
      <c r="I108" s="208">
        <v>2</v>
      </c>
      <c r="J108" s="210">
        <v>1.26</v>
      </c>
      <c r="K108" s="208"/>
      <c r="L108" s="208"/>
      <c r="M108" s="208"/>
      <c r="N108" s="208"/>
      <c r="O108" s="210"/>
      <c r="P108" s="208"/>
      <c r="Q108" s="211">
        <f>'приложение 1.1'!I107</f>
        <v>0.28</v>
      </c>
      <c r="R108" s="212">
        <v>0</v>
      </c>
      <c r="S108" s="212">
        <f t="shared" si="0"/>
        <v>0.16000000000000003</v>
      </c>
      <c r="T108" s="213">
        <f>ROUND(119907/1000000,2)</f>
        <v>0.12</v>
      </c>
      <c r="U108" s="213">
        <f>ROUND(0/1000000,2)</f>
        <v>0</v>
      </c>
      <c r="V108" s="214"/>
      <c r="W108" s="214"/>
      <c r="X108" s="214"/>
      <c r="Y108" s="214"/>
      <c r="Z108" s="208">
        <v>2015</v>
      </c>
      <c r="AA108" s="208">
        <v>25</v>
      </c>
      <c r="AB108" s="208">
        <v>2</v>
      </c>
      <c r="AC108" s="210">
        <v>1.26</v>
      </c>
      <c r="AD108" s="208"/>
      <c r="AE108" s="208"/>
      <c r="AF108" s="208"/>
      <c r="AG108" s="208"/>
      <c r="AH108" s="210"/>
      <c r="AI108" s="215"/>
      <c r="AJ108" s="183"/>
    </row>
    <row r="109" spans="1:36" s="4" customFormat="1" ht="60" customHeight="1">
      <c r="A109" s="74" t="s">
        <v>251</v>
      </c>
      <c r="B109" s="60" t="s">
        <v>252</v>
      </c>
      <c r="C109" s="207"/>
      <c r="D109" s="207"/>
      <c r="E109" s="207"/>
      <c r="F109" s="207"/>
      <c r="G109" s="208">
        <v>1987</v>
      </c>
      <c r="H109" s="208">
        <v>25</v>
      </c>
      <c r="I109" s="208">
        <v>1</v>
      </c>
      <c r="J109" s="210">
        <v>0.25</v>
      </c>
      <c r="K109" s="208"/>
      <c r="L109" s="208"/>
      <c r="M109" s="208"/>
      <c r="N109" s="208"/>
      <c r="O109" s="210"/>
      <c r="P109" s="208"/>
      <c r="Q109" s="211">
        <f>'приложение 1.1'!I108</f>
        <v>0.14</v>
      </c>
      <c r="R109" s="212">
        <v>0</v>
      </c>
      <c r="S109" s="212">
        <f t="shared" si="0"/>
        <v>0.08000000000000002</v>
      </c>
      <c r="T109" s="213">
        <f>ROUND(64050/1000000,2)</f>
        <v>0.06</v>
      </c>
      <c r="U109" s="213">
        <f>ROUND(0/1000000,2)</f>
        <v>0</v>
      </c>
      <c r="V109" s="214"/>
      <c r="W109" s="214"/>
      <c r="X109" s="214"/>
      <c r="Y109" s="214"/>
      <c r="Z109" s="208">
        <v>2015</v>
      </c>
      <c r="AA109" s="208">
        <v>25</v>
      </c>
      <c r="AB109" s="208">
        <v>1</v>
      </c>
      <c r="AC109" s="210">
        <v>0.25</v>
      </c>
      <c r="AD109" s="208"/>
      <c r="AE109" s="208"/>
      <c r="AF109" s="208"/>
      <c r="AG109" s="208"/>
      <c r="AH109" s="210"/>
      <c r="AI109" s="215"/>
      <c r="AJ109" s="183"/>
    </row>
    <row r="110" spans="1:36" s="4" customFormat="1" ht="60" customHeight="1">
      <c r="A110" s="74" t="s">
        <v>253</v>
      </c>
      <c r="B110" s="60" t="s">
        <v>254</v>
      </c>
      <c r="C110" s="207"/>
      <c r="D110" s="207"/>
      <c r="E110" s="207"/>
      <c r="F110" s="207"/>
      <c r="G110" s="208">
        <v>1991</v>
      </c>
      <c r="H110" s="208">
        <v>25</v>
      </c>
      <c r="I110" s="208">
        <v>1</v>
      </c>
      <c r="J110" s="210">
        <v>0.4</v>
      </c>
      <c r="K110" s="208"/>
      <c r="L110" s="208"/>
      <c r="M110" s="208"/>
      <c r="N110" s="208"/>
      <c r="O110" s="210"/>
      <c r="P110" s="208"/>
      <c r="Q110" s="211">
        <f>'приложение 1.1'!I109</f>
        <v>0.12</v>
      </c>
      <c r="R110" s="212">
        <v>0</v>
      </c>
      <c r="S110" s="212">
        <f t="shared" si="0"/>
        <v>0.07999999999999999</v>
      </c>
      <c r="T110" s="213">
        <f>ROUND(36080/1000000,2)</f>
        <v>0.04</v>
      </c>
      <c r="U110" s="213">
        <f>ROUND(0/1000000,2)</f>
        <v>0</v>
      </c>
      <c r="V110" s="214"/>
      <c r="W110" s="214"/>
      <c r="X110" s="214"/>
      <c r="Y110" s="214"/>
      <c r="Z110" s="208">
        <v>2015</v>
      </c>
      <c r="AA110" s="208">
        <v>25</v>
      </c>
      <c r="AB110" s="208">
        <v>1</v>
      </c>
      <c r="AC110" s="210">
        <v>0.4</v>
      </c>
      <c r="AD110" s="208"/>
      <c r="AE110" s="208"/>
      <c r="AF110" s="208"/>
      <c r="AG110" s="208"/>
      <c r="AH110" s="210"/>
      <c r="AI110" s="215"/>
      <c r="AJ110" s="183"/>
    </row>
    <row r="111" spans="1:36" s="4" customFormat="1" ht="60" customHeight="1">
      <c r="A111" s="74" t="s">
        <v>255</v>
      </c>
      <c r="B111" s="60" t="s">
        <v>256</v>
      </c>
      <c r="C111" s="207"/>
      <c r="D111" s="207"/>
      <c r="E111" s="207"/>
      <c r="F111" s="207"/>
      <c r="G111" s="208">
        <v>2003</v>
      </c>
      <c r="H111" s="208">
        <v>25</v>
      </c>
      <c r="I111" s="208">
        <v>1</v>
      </c>
      <c r="J111" s="210">
        <v>0.16</v>
      </c>
      <c r="K111" s="208"/>
      <c r="L111" s="208"/>
      <c r="M111" s="208"/>
      <c r="N111" s="208"/>
      <c r="O111" s="210"/>
      <c r="P111" s="208"/>
      <c r="Q111" s="211">
        <f>'приложение 1.1'!I110</f>
        <v>0.12</v>
      </c>
      <c r="R111" s="212">
        <v>0</v>
      </c>
      <c r="S111" s="212">
        <f t="shared" si="0"/>
        <v>0.06</v>
      </c>
      <c r="T111" s="213">
        <f>ROUND(58853/1000000,2)</f>
        <v>0.06</v>
      </c>
      <c r="U111" s="213">
        <f>ROUND(0/1000000,2)</f>
        <v>0</v>
      </c>
      <c r="V111" s="214"/>
      <c r="W111" s="214"/>
      <c r="X111" s="214"/>
      <c r="Y111" s="214"/>
      <c r="Z111" s="208">
        <v>2015</v>
      </c>
      <c r="AA111" s="208">
        <v>25</v>
      </c>
      <c r="AB111" s="208">
        <v>1</v>
      </c>
      <c r="AC111" s="210">
        <v>0.16</v>
      </c>
      <c r="AD111" s="208"/>
      <c r="AE111" s="208"/>
      <c r="AF111" s="208"/>
      <c r="AG111" s="208"/>
      <c r="AH111" s="210"/>
      <c r="AI111" s="215"/>
      <c r="AJ111" s="183"/>
    </row>
    <row r="112" spans="1:36" s="4" customFormat="1" ht="60" customHeight="1">
      <c r="A112" s="74" t="s">
        <v>257</v>
      </c>
      <c r="B112" s="57" t="s">
        <v>258</v>
      </c>
      <c r="C112" s="207"/>
      <c r="D112" s="207"/>
      <c r="E112" s="207"/>
      <c r="F112" s="207"/>
      <c r="G112" s="208">
        <v>1987</v>
      </c>
      <c r="H112" s="208">
        <v>25</v>
      </c>
      <c r="I112" s="208">
        <v>1</v>
      </c>
      <c r="J112" s="210">
        <v>0.25</v>
      </c>
      <c r="K112" s="208"/>
      <c r="L112" s="208"/>
      <c r="M112" s="208"/>
      <c r="N112" s="208"/>
      <c r="O112" s="210"/>
      <c r="P112" s="208"/>
      <c r="Q112" s="211">
        <f>'приложение 1.1'!I111</f>
        <v>1.3639999999999999</v>
      </c>
      <c r="R112" s="212">
        <v>0</v>
      </c>
      <c r="S112" s="212">
        <f t="shared" si="0"/>
        <v>0.5139999999999999</v>
      </c>
      <c r="T112" s="213">
        <f>ROUND(761847.32/1000000,2)</f>
        <v>0.76</v>
      </c>
      <c r="U112" s="213">
        <f>ROUND(93267.8/1000000,2)</f>
        <v>0.09</v>
      </c>
      <c r="V112" s="214"/>
      <c r="W112" s="214"/>
      <c r="X112" s="214"/>
      <c r="Y112" s="214"/>
      <c r="Z112" s="208">
        <v>2015</v>
      </c>
      <c r="AA112" s="208">
        <v>25</v>
      </c>
      <c r="AB112" s="208">
        <v>1</v>
      </c>
      <c r="AC112" s="210">
        <v>0.25</v>
      </c>
      <c r="AD112" s="208"/>
      <c r="AE112" s="208"/>
      <c r="AF112" s="208"/>
      <c r="AG112" s="208"/>
      <c r="AH112" s="210"/>
      <c r="AI112" s="215"/>
      <c r="AJ112" s="183"/>
    </row>
    <row r="113" spans="1:36" s="4" customFormat="1" ht="60" customHeight="1">
      <c r="A113" s="74" t="s">
        <v>259</v>
      </c>
      <c r="B113" s="112" t="s">
        <v>260</v>
      </c>
      <c r="C113" s="207"/>
      <c r="D113" s="207"/>
      <c r="E113" s="207"/>
      <c r="F113" s="207"/>
      <c r="G113" s="208">
        <v>2004</v>
      </c>
      <c r="H113" s="208">
        <v>25</v>
      </c>
      <c r="I113" s="208">
        <v>1</v>
      </c>
      <c r="J113" s="210">
        <v>0.4</v>
      </c>
      <c r="K113" s="208"/>
      <c r="L113" s="208"/>
      <c r="M113" s="208"/>
      <c r="N113" s="208"/>
      <c r="O113" s="210"/>
      <c r="P113" s="208"/>
      <c r="Q113" s="211">
        <f>'приложение 1.1'!I112</f>
        <v>0.52</v>
      </c>
      <c r="R113" s="212">
        <v>0</v>
      </c>
      <c r="S113" s="212">
        <f t="shared" si="0"/>
        <v>0.35</v>
      </c>
      <c r="T113" s="213">
        <f>ROUND(153380/1000000,2)</f>
        <v>0.15</v>
      </c>
      <c r="U113" s="213">
        <f>ROUND(17606/1000000,2)</f>
        <v>0.02</v>
      </c>
      <c r="V113" s="214"/>
      <c r="W113" s="214"/>
      <c r="X113" s="214"/>
      <c r="Y113" s="214"/>
      <c r="Z113" s="208">
        <v>2015</v>
      </c>
      <c r="AA113" s="208">
        <v>25</v>
      </c>
      <c r="AB113" s="208">
        <v>1</v>
      </c>
      <c r="AC113" s="210">
        <v>0.4</v>
      </c>
      <c r="AD113" s="208"/>
      <c r="AE113" s="208"/>
      <c r="AF113" s="208"/>
      <c r="AG113" s="208"/>
      <c r="AH113" s="210"/>
      <c r="AI113" s="215"/>
      <c r="AJ113" s="183"/>
    </row>
    <row r="114" spans="1:36" s="4" customFormat="1" ht="60" customHeight="1">
      <c r="A114" s="74" t="s">
        <v>261</v>
      </c>
      <c r="B114" s="112" t="s">
        <v>262</v>
      </c>
      <c r="C114" s="207"/>
      <c r="D114" s="207"/>
      <c r="E114" s="207"/>
      <c r="F114" s="207"/>
      <c r="G114" s="208">
        <v>2008</v>
      </c>
      <c r="H114" s="208">
        <v>25</v>
      </c>
      <c r="I114" s="208">
        <v>1</v>
      </c>
      <c r="J114" s="210">
        <v>0.4</v>
      </c>
      <c r="K114" s="208"/>
      <c r="L114" s="208"/>
      <c r="M114" s="208"/>
      <c r="N114" s="208"/>
      <c r="O114" s="210"/>
      <c r="P114" s="208"/>
      <c r="Q114" s="211">
        <f>'приложение 1.1'!I113</f>
        <v>0.22</v>
      </c>
      <c r="R114" s="212">
        <v>0</v>
      </c>
      <c r="S114" s="212">
        <f t="shared" si="0"/>
        <v>0.06999999999999999</v>
      </c>
      <c r="T114" s="213">
        <f>ROUND(130688/1000000,2)</f>
        <v>0.13</v>
      </c>
      <c r="U114" s="213">
        <f>ROUND(19816.4/1000000,2)</f>
        <v>0.02</v>
      </c>
      <c r="V114" s="214"/>
      <c r="W114" s="214"/>
      <c r="X114" s="214"/>
      <c r="Y114" s="214"/>
      <c r="Z114" s="208">
        <v>2015</v>
      </c>
      <c r="AA114" s="208">
        <v>25</v>
      </c>
      <c r="AB114" s="208">
        <v>1</v>
      </c>
      <c r="AC114" s="210">
        <v>0.4</v>
      </c>
      <c r="AD114" s="208"/>
      <c r="AE114" s="208"/>
      <c r="AF114" s="208"/>
      <c r="AG114" s="208"/>
      <c r="AH114" s="210"/>
      <c r="AI114" s="215"/>
      <c r="AJ114" s="183"/>
    </row>
    <row r="115" spans="1:36" s="4" customFormat="1" ht="60" customHeight="1">
      <c r="A115" s="74" t="s">
        <v>263</v>
      </c>
      <c r="B115" s="60" t="s">
        <v>264</v>
      </c>
      <c r="C115" s="207"/>
      <c r="D115" s="207"/>
      <c r="E115" s="207"/>
      <c r="F115" s="207"/>
      <c r="G115" s="208">
        <v>1991</v>
      </c>
      <c r="H115" s="208">
        <v>25</v>
      </c>
      <c r="I115" s="208">
        <v>1</v>
      </c>
      <c r="J115" s="210">
        <v>0.16</v>
      </c>
      <c r="K115" s="208"/>
      <c r="L115" s="208"/>
      <c r="M115" s="208"/>
      <c r="N115" s="208"/>
      <c r="O115" s="210"/>
      <c r="P115" s="208"/>
      <c r="Q115" s="211">
        <f>'приложение 1.1'!I114</f>
        <v>0.42</v>
      </c>
      <c r="R115" s="212">
        <v>0</v>
      </c>
      <c r="S115" s="212">
        <f t="shared" si="0"/>
        <v>0.3</v>
      </c>
      <c r="T115" s="220">
        <f>ROUND((1729+13323+46065+22391+39622)/1000000,2)</f>
        <v>0.12</v>
      </c>
      <c r="U115" s="213">
        <f>ROUND((0)/1000000,2)</f>
        <v>0</v>
      </c>
      <c r="V115" s="214"/>
      <c r="W115" s="214"/>
      <c r="X115" s="214"/>
      <c r="Y115" s="214"/>
      <c r="Z115" s="208">
        <v>2015</v>
      </c>
      <c r="AA115" s="208">
        <v>25</v>
      </c>
      <c r="AB115" s="208">
        <v>1</v>
      </c>
      <c r="AC115" s="210">
        <v>0.16</v>
      </c>
      <c r="AD115" s="208"/>
      <c r="AE115" s="208"/>
      <c r="AF115" s="208"/>
      <c r="AG115" s="208"/>
      <c r="AH115" s="210"/>
      <c r="AI115" s="215"/>
      <c r="AJ115" s="183"/>
    </row>
    <row r="116" spans="1:36" s="4" customFormat="1" ht="60" customHeight="1">
      <c r="A116" s="74" t="s">
        <v>265</v>
      </c>
      <c r="B116" s="60" t="s">
        <v>266</v>
      </c>
      <c r="C116" s="207"/>
      <c r="D116" s="207"/>
      <c r="E116" s="207"/>
      <c r="F116" s="207"/>
      <c r="G116" s="208">
        <v>1997</v>
      </c>
      <c r="H116" s="208">
        <v>25</v>
      </c>
      <c r="I116" s="208">
        <v>1</v>
      </c>
      <c r="J116" s="210">
        <v>0.25</v>
      </c>
      <c r="K116" s="208"/>
      <c r="L116" s="208"/>
      <c r="M116" s="208"/>
      <c r="N116" s="208"/>
      <c r="O116" s="210"/>
      <c r="P116" s="208"/>
      <c r="Q116" s="211">
        <f>'приложение 1.1'!I115</f>
        <v>0.4</v>
      </c>
      <c r="R116" s="212">
        <v>0</v>
      </c>
      <c r="S116" s="212">
        <f t="shared" si="0"/>
        <v>0.33</v>
      </c>
      <c r="T116" s="220">
        <f>ROUND((1710+13323+27490+32020)/1000000,2)</f>
        <v>0.07</v>
      </c>
      <c r="U116" s="213">
        <f>ROUND((0)/1000000,2)</f>
        <v>0</v>
      </c>
      <c r="V116" s="214"/>
      <c r="W116" s="214"/>
      <c r="X116" s="214"/>
      <c r="Y116" s="214"/>
      <c r="Z116" s="208">
        <v>2015</v>
      </c>
      <c r="AA116" s="208">
        <v>25</v>
      </c>
      <c r="AB116" s="208">
        <v>1</v>
      </c>
      <c r="AC116" s="210">
        <v>0.25</v>
      </c>
      <c r="AD116" s="208"/>
      <c r="AE116" s="208"/>
      <c r="AF116" s="208"/>
      <c r="AG116" s="208"/>
      <c r="AH116" s="210"/>
      <c r="AI116" s="215"/>
      <c r="AJ116" s="183"/>
    </row>
    <row r="117" spans="1:36" s="4" customFormat="1" ht="60" customHeight="1">
      <c r="A117" s="74" t="s">
        <v>267</v>
      </c>
      <c r="B117" s="60" t="s">
        <v>268</v>
      </c>
      <c r="C117" s="207"/>
      <c r="D117" s="207"/>
      <c r="E117" s="207"/>
      <c r="F117" s="207"/>
      <c r="G117" s="208">
        <v>1988</v>
      </c>
      <c r="H117" s="208">
        <v>25</v>
      </c>
      <c r="I117" s="208">
        <v>2</v>
      </c>
      <c r="J117" s="210">
        <v>0.8</v>
      </c>
      <c r="K117" s="208"/>
      <c r="L117" s="208"/>
      <c r="M117" s="208"/>
      <c r="N117" s="208"/>
      <c r="O117" s="210"/>
      <c r="P117" s="208"/>
      <c r="Q117" s="211">
        <f>'приложение 1.1'!I116</f>
        <v>0.54</v>
      </c>
      <c r="R117" s="212">
        <v>0</v>
      </c>
      <c r="S117" s="212">
        <f t="shared" si="0"/>
        <v>0.38</v>
      </c>
      <c r="T117" s="213">
        <f>ROUND(159436/1000000,2)</f>
        <v>0.16</v>
      </c>
      <c r="U117" s="213">
        <f>ROUND(0/1000000,2)</f>
        <v>0</v>
      </c>
      <c r="V117" s="214"/>
      <c r="W117" s="214"/>
      <c r="X117" s="214"/>
      <c r="Y117" s="214"/>
      <c r="Z117" s="208">
        <v>2015</v>
      </c>
      <c r="AA117" s="208">
        <v>25</v>
      </c>
      <c r="AB117" s="208">
        <v>2</v>
      </c>
      <c r="AC117" s="210">
        <v>0.8</v>
      </c>
      <c r="AD117" s="208"/>
      <c r="AE117" s="208"/>
      <c r="AF117" s="208"/>
      <c r="AG117" s="208"/>
      <c r="AH117" s="210"/>
      <c r="AI117" s="215"/>
      <c r="AJ117" s="183"/>
    </row>
    <row r="118" spans="1:36" s="4" customFormat="1" ht="60" customHeight="1">
      <c r="A118" s="74" t="s">
        <v>269</v>
      </c>
      <c r="B118" s="76" t="s">
        <v>270</v>
      </c>
      <c r="C118" s="207"/>
      <c r="D118" s="207"/>
      <c r="E118" s="207"/>
      <c r="F118" s="207"/>
      <c r="G118" s="208">
        <v>1992</v>
      </c>
      <c r="H118" s="208">
        <v>25</v>
      </c>
      <c r="I118" s="208">
        <v>2</v>
      </c>
      <c r="J118" s="210">
        <v>2</v>
      </c>
      <c r="K118" s="208"/>
      <c r="L118" s="208"/>
      <c r="M118" s="208"/>
      <c r="N118" s="208"/>
      <c r="O118" s="210"/>
      <c r="P118" s="208"/>
      <c r="Q118" s="211">
        <f>'приложение 1.1'!I117</f>
        <v>0.35</v>
      </c>
      <c r="R118" s="212">
        <v>0</v>
      </c>
      <c r="S118" s="212">
        <f t="shared" si="0"/>
        <v>0.14999999999999997</v>
      </c>
      <c r="T118" s="213">
        <f>ROUND(198578/1000000,2)</f>
        <v>0.2</v>
      </c>
      <c r="U118" s="213">
        <f>ROUND(0/1000000,2)</f>
        <v>0</v>
      </c>
      <c r="V118" s="214"/>
      <c r="W118" s="214"/>
      <c r="X118" s="214"/>
      <c r="Y118" s="214"/>
      <c r="Z118" s="208">
        <v>2015</v>
      </c>
      <c r="AA118" s="208">
        <v>25</v>
      </c>
      <c r="AB118" s="208">
        <v>2</v>
      </c>
      <c r="AC118" s="210">
        <v>2</v>
      </c>
      <c r="AD118" s="208"/>
      <c r="AE118" s="208"/>
      <c r="AF118" s="208"/>
      <c r="AG118" s="208"/>
      <c r="AH118" s="210"/>
      <c r="AI118" s="215"/>
      <c r="AJ118" s="183"/>
    </row>
    <row r="119" spans="1:36" s="4" customFormat="1" ht="60" customHeight="1">
      <c r="A119" s="74" t="s">
        <v>271</v>
      </c>
      <c r="B119" s="49" t="s">
        <v>272</v>
      </c>
      <c r="C119" s="207"/>
      <c r="D119" s="207"/>
      <c r="E119" s="207"/>
      <c r="F119" s="207"/>
      <c r="G119" s="208">
        <v>1983</v>
      </c>
      <c r="H119" s="208">
        <v>25</v>
      </c>
      <c r="I119" s="208">
        <v>2</v>
      </c>
      <c r="J119" s="210">
        <v>5</v>
      </c>
      <c r="K119" s="208"/>
      <c r="L119" s="208"/>
      <c r="M119" s="208"/>
      <c r="N119" s="208"/>
      <c r="O119" s="210"/>
      <c r="P119" s="208"/>
      <c r="Q119" s="211">
        <f>'приложение 1.1'!I118</f>
        <v>17.1558</v>
      </c>
      <c r="R119" s="212">
        <v>0</v>
      </c>
      <c r="S119" s="212">
        <f t="shared" si="0"/>
        <v>6.7757999999999985</v>
      </c>
      <c r="T119" s="213">
        <f>ROUND((8437265.76+48062+333644)/1000000,2)</f>
        <v>8.82</v>
      </c>
      <c r="U119" s="213">
        <f>ROUND((1521050+34754)/1000000,2)</f>
        <v>1.56</v>
      </c>
      <c r="V119" s="214"/>
      <c r="W119" s="214"/>
      <c r="X119" s="214"/>
      <c r="Y119" s="214"/>
      <c r="Z119" s="208">
        <v>2016</v>
      </c>
      <c r="AA119" s="208">
        <v>25</v>
      </c>
      <c r="AB119" s="208">
        <v>2</v>
      </c>
      <c r="AC119" s="210">
        <v>5</v>
      </c>
      <c r="AD119" s="208"/>
      <c r="AE119" s="208"/>
      <c r="AF119" s="208"/>
      <c r="AG119" s="208"/>
      <c r="AH119" s="210"/>
      <c r="AI119" s="215"/>
      <c r="AJ119" s="183"/>
    </row>
    <row r="120" spans="1:36" s="4" customFormat="1" ht="60" customHeight="1">
      <c r="A120" s="74" t="s">
        <v>273</v>
      </c>
      <c r="B120" s="49" t="s">
        <v>274</v>
      </c>
      <c r="C120" s="207"/>
      <c r="D120" s="207"/>
      <c r="E120" s="207"/>
      <c r="F120" s="207"/>
      <c r="G120" s="208">
        <v>1999</v>
      </c>
      <c r="H120" s="208">
        <v>25</v>
      </c>
      <c r="I120" s="208">
        <v>2</v>
      </c>
      <c r="J120" s="210">
        <v>12.6</v>
      </c>
      <c r="K120" s="208"/>
      <c r="L120" s="208"/>
      <c r="M120" s="208"/>
      <c r="N120" s="208"/>
      <c r="O120" s="210"/>
      <c r="P120" s="208"/>
      <c r="Q120" s="211">
        <f>'приложение 1.1'!I119</f>
        <v>9.254000000000001</v>
      </c>
      <c r="R120" s="212">
        <v>0</v>
      </c>
      <c r="S120" s="212">
        <f t="shared" si="0"/>
        <v>2.8740000000000014</v>
      </c>
      <c r="T120" s="213">
        <f>ROUND(4594398/1000000,2)</f>
        <v>4.59</v>
      </c>
      <c r="U120" s="213">
        <f>ROUND(1789565.79/1000000,2)</f>
        <v>1.79</v>
      </c>
      <c r="V120" s="214"/>
      <c r="W120" s="214"/>
      <c r="X120" s="214"/>
      <c r="Y120" s="214"/>
      <c r="Z120" s="208">
        <v>2016</v>
      </c>
      <c r="AA120" s="208">
        <v>25</v>
      </c>
      <c r="AB120" s="208">
        <v>2</v>
      </c>
      <c r="AC120" s="210">
        <v>12.6</v>
      </c>
      <c r="AD120" s="208"/>
      <c r="AE120" s="208"/>
      <c r="AF120" s="208"/>
      <c r="AG120" s="208"/>
      <c r="AH120" s="210"/>
      <c r="AI120" s="215"/>
      <c r="AJ120" s="183"/>
    </row>
    <row r="121" spans="1:36" s="4" customFormat="1" ht="60" customHeight="1">
      <c r="A121" s="74" t="s">
        <v>275</v>
      </c>
      <c r="B121" s="49" t="s">
        <v>276</v>
      </c>
      <c r="C121" s="207"/>
      <c r="D121" s="207"/>
      <c r="E121" s="207"/>
      <c r="F121" s="207"/>
      <c r="G121" s="208">
        <v>1994</v>
      </c>
      <c r="H121" s="208">
        <v>25</v>
      </c>
      <c r="I121" s="208">
        <v>2</v>
      </c>
      <c r="J121" s="210">
        <v>12.6</v>
      </c>
      <c r="K121" s="208"/>
      <c r="L121" s="208"/>
      <c r="M121" s="208"/>
      <c r="N121" s="208"/>
      <c r="O121" s="210"/>
      <c r="P121" s="208"/>
      <c r="Q121" s="211">
        <f>'приложение 1.1'!I120</f>
        <v>6.569599999999999</v>
      </c>
      <c r="R121" s="212">
        <v>0</v>
      </c>
      <c r="S121" s="212">
        <f t="shared" si="0"/>
        <v>2.4195999999999995</v>
      </c>
      <c r="T121" s="213">
        <f>ROUND(2130838.96/1000000,2)</f>
        <v>2.13</v>
      </c>
      <c r="U121" s="213">
        <f>ROUND(2023952/1000000,2)</f>
        <v>2.02</v>
      </c>
      <c r="V121" s="214"/>
      <c r="W121" s="214"/>
      <c r="X121" s="214"/>
      <c r="Y121" s="214"/>
      <c r="Z121" s="208">
        <v>2016</v>
      </c>
      <c r="AA121" s="208">
        <v>25</v>
      </c>
      <c r="AB121" s="208">
        <v>2</v>
      </c>
      <c r="AC121" s="210">
        <v>12.6</v>
      </c>
      <c r="AD121" s="208"/>
      <c r="AE121" s="208"/>
      <c r="AF121" s="208"/>
      <c r="AG121" s="208"/>
      <c r="AH121" s="210"/>
      <c r="AI121" s="215"/>
      <c r="AJ121" s="183"/>
    </row>
    <row r="122" spans="1:36" s="4" customFormat="1" ht="60" customHeight="1">
      <c r="A122" s="74" t="s">
        <v>277</v>
      </c>
      <c r="B122" s="49" t="s">
        <v>278</v>
      </c>
      <c r="C122" s="207"/>
      <c r="D122" s="207"/>
      <c r="E122" s="207"/>
      <c r="F122" s="207"/>
      <c r="G122" s="208">
        <v>1987</v>
      </c>
      <c r="H122" s="208">
        <v>25</v>
      </c>
      <c r="I122" s="208">
        <v>2</v>
      </c>
      <c r="J122" s="210">
        <v>12.6</v>
      </c>
      <c r="K122" s="208"/>
      <c r="L122" s="208"/>
      <c r="M122" s="208"/>
      <c r="N122" s="208"/>
      <c r="O122" s="210"/>
      <c r="P122" s="208"/>
      <c r="Q122" s="211">
        <f>'приложение 1.1'!I121</f>
        <v>2.25</v>
      </c>
      <c r="R122" s="212">
        <v>0</v>
      </c>
      <c r="S122" s="212">
        <f t="shared" si="0"/>
        <v>0.47</v>
      </c>
      <c r="T122" s="213">
        <f>ROUND(1542367/1000000,2)</f>
        <v>1.54</v>
      </c>
      <c r="U122" s="213">
        <f>ROUND(237890/1000000,2)</f>
        <v>0.24</v>
      </c>
      <c r="V122" s="214"/>
      <c r="W122" s="214"/>
      <c r="X122" s="214"/>
      <c r="Y122" s="214"/>
      <c r="Z122" s="208">
        <v>2015</v>
      </c>
      <c r="AA122" s="208">
        <v>25</v>
      </c>
      <c r="AB122" s="208">
        <v>2</v>
      </c>
      <c r="AC122" s="210">
        <v>12.6</v>
      </c>
      <c r="AD122" s="208"/>
      <c r="AE122" s="208"/>
      <c r="AF122" s="208"/>
      <c r="AG122" s="208"/>
      <c r="AH122" s="210"/>
      <c r="AI122" s="215"/>
      <c r="AJ122" s="183"/>
    </row>
    <row r="123" spans="1:36" s="4" customFormat="1" ht="60" customHeight="1">
      <c r="A123" s="74" t="s">
        <v>279</v>
      </c>
      <c r="B123" s="60" t="s">
        <v>280</v>
      </c>
      <c r="C123" s="207"/>
      <c r="D123" s="207"/>
      <c r="E123" s="207"/>
      <c r="F123" s="207"/>
      <c r="G123" s="208">
        <v>1982</v>
      </c>
      <c r="H123" s="208">
        <v>25</v>
      </c>
      <c r="I123" s="208">
        <v>2</v>
      </c>
      <c r="J123" s="210">
        <v>12.6</v>
      </c>
      <c r="K123" s="208"/>
      <c r="L123" s="208"/>
      <c r="M123" s="208"/>
      <c r="N123" s="208"/>
      <c r="O123" s="210"/>
      <c r="P123" s="208"/>
      <c r="Q123" s="211">
        <f>'приложение 1.1'!I122</f>
        <v>0.77</v>
      </c>
      <c r="R123" s="212">
        <v>0</v>
      </c>
      <c r="S123" s="212">
        <f t="shared" si="0"/>
        <v>0.31999999999999995</v>
      </c>
      <c r="T123" s="213">
        <f>ROUND((14952+9794+25972)/1000000,2)</f>
        <v>0.05</v>
      </c>
      <c r="U123" s="213">
        <f>ROUND((240+399455)/1000000,2)</f>
        <v>0.4</v>
      </c>
      <c r="V123" s="214"/>
      <c r="W123" s="214"/>
      <c r="X123" s="214"/>
      <c r="Y123" s="214"/>
      <c r="Z123" s="208">
        <v>2015</v>
      </c>
      <c r="AA123" s="208">
        <v>25</v>
      </c>
      <c r="AB123" s="208">
        <v>2</v>
      </c>
      <c r="AC123" s="210">
        <v>12.6</v>
      </c>
      <c r="AD123" s="208"/>
      <c r="AE123" s="208"/>
      <c r="AF123" s="208"/>
      <c r="AG123" s="208"/>
      <c r="AH123" s="210"/>
      <c r="AI123" s="215"/>
      <c r="AJ123" s="183"/>
    </row>
    <row r="124" spans="1:36" s="4" customFormat="1" ht="60" customHeight="1">
      <c r="A124" s="74" t="s">
        <v>281</v>
      </c>
      <c r="B124" s="49" t="s">
        <v>282</v>
      </c>
      <c r="C124" s="207"/>
      <c r="D124" s="207"/>
      <c r="E124" s="207"/>
      <c r="F124" s="207"/>
      <c r="G124" s="208">
        <v>1987</v>
      </c>
      <c r="H124" s="208">
        <v>25</v>
      </c>
      <c r="I124" s="208">
        <v>2</v>
      </c>
      <c r="J124" s="210">
        <v>20</v>
      </c>
      <c r="K124" s="208"/>
      <c r="L124" s="208"/>
      <c r="M124" s="208"/>
      <c r="N124" s="208"/>
      <c r="O124" s="210"/>
      <c r="P124" s="208"/>
      <c r="Q124" s="211">
        <f>'приложение 1.1'!I123</f>
        <v>8.879999999999999</v>
      </c>
      <c r="R124" s="212">
        <v>0</v>
      </c>
      <c r="S124" s="212">
        <f t="shared" si="0"/>
        <v>7.479999999999999</v>
      </c>
      <c r="T124" s="213">
        <f>ROUND(1080673.16/1000000,2)</f>
        <v>1.08</v>
      </c>
      <c r="U124" s="213">
        <f>ROUND(321377/1000000,2)</f>
        <v>0.32</v>
      </c>
      <c r="V124" s="214"/>
      <c r="W124" s="214"/>
      <c r="X124" s="214"/>
      <c r="Y124" s="214"/>
      <c r="Z124" s="208">
        <v>2015</v>
      </c>
      <c r="AA124" s="208">
        <v>25</v>
      </c>
      <c r="AB124" s="208">
        <v>2</v>
      </c>
      <c r="AC124" s="210">
        <v>20</v>
      </c>
      <c r="AD124" s="208"/>
      <c r="AE124" s="208"/>
      <c r="AF124" s="208"/>
      <c r="AG124" s="208"/>
      <c r="AH124" s="210"/>
      <c r="AI124" s="215"/>
      <c r="AJ124" s="183"/>
    </row>
    <row r="125" spans="1:36" s="4" customFormat="1" ht="60" customHeight="1">
      <c r="A125" s="74" t="s">
        <v>283</v>
      </c>
      <c r="B125" s="68" t="s">
        <v>284</v>
      </c>
      <c r="C125" s="207"/>
      <c r="D125" s="207"/>
      <c r="E125" s="207"/>
      <c r="F125" s="207"/>
      <c r="G125" s="208">
        <v>2000</v>
      </c>
      <c r="H125" s="208">
        <v>25</v>
      </c>
      <c r="I125" s="208">
        <v>5</v>
      </c>
      <c r="J125" s="210">
        <v>32.6</v>
      </c>
      <c r="K125" s="208"/>
      <c r="L125" s="208"/>
      <c r="M125" s="208"/>
      <c r="N125" s="208"/>
      <c r="O125" s="210"/>
      <c r="P125" s="208"/>
      <c r="Q125" s="211">
        <f>'приложение 1.1'!I124</f>
        <v>8.506599999999999</v>
      </c>
      <c r="R125" s="212">
        <v>0</v>
      </c>
      <c r="S125" s="212">
        <f t="shared" si="0"/>
        <v>3.346599999999999</v>
      </c>
      <c r="T125" s="213">
        <f>ROUND(4767394.4/1000000,2)</f>
        <v>4.77</v>
      </c>
      <c r="U125" s="213">
        <f>ROUND(390590/1000000,2)</f>
        <v>0.39</v>
      </c>
      <c r="V125" s="214"/>
      <c r="W125" s="214"/>
      <c r="X125" s="214"/>
      <c r="Y125" s="214"/>
      <c r="Z125" s="208">
        <v>2015</v>
      </c>
      <c r="AA125" s="208">
        <v>25</v>
      </c>
      <c r="AB125" s="208">
        <v>5</v>
      </c>
      <c r="AC125" s="210">
        <v>42.6</v>
      </c>
      <c r="AD125" s="208"/>
      <c r="AE125" s="208"/>
      <c r="AF125" s="208"/>
      <c r="AG125" s="208"/>
      <c r="AH125" s="210"/>
      <c r="AI125" s="215"/>
      <c r="AJ125" s="183"/>
    </row>
    <row r="126" spans="1:36" s="4" customFormat="1" ht="60" customHeight="1">
      <c r="A126" s="74" t="s">
        <v>285</v>
      </c>
      <c r="B126" s="62" t="s">
        <v>286</v>
      </c>
      <c r="C126" s="207"/>
      <c r="D126" s="207"/>
      <c r="E126" s="207"/>
      <c r="F126" s="207"/>
      <c r="G126" s="218">
        <v>1992</v>
      </c>
      <c r="H126" s="218">
        <v>25</v>
      </c>
      <c r="I126" s="218">
        <v>2</v>
      </c>
      <c r="J126" s="209">
        <v>10</v>
      </c>
      <c r="K126" s="208"/>
      <c r="L126" s="208"/>
      <c r="M126" s="208"/>
      <c r="N126" s="208"/>
      <c r="O126" s="210"/>
      <c r="P126" s="208"/>
      <c r="Q126" s="211">
        <f>'приложение 1.1'!I125</f>
        <v>7.68</v>
      </c>
      <c r="R126" s="212">
        <v>0</v>
      </c>
      <c r="S126" s="221">
        <f t="shared" si="0"/>
        <v>1.4499999999999997</v>
      </c>
      <c r="T126" s="220">
        <f>ROUND(1155263.94/1000000*4.62,2)</f>
        <v>5.34</v>
      </c>
      <c r="U126" s="220">
        <f>ROUND(893447.24/1000000,2)</f>
        <v>0.89</v>
      </c>
      <c r="V126" s="214"/>
      <c r="W126" s="214"/>
      <c r="X126" s="214"/>
      <c r="Y126" s="214"/>
      <c r="Z126" s="218">
        <v>2015</v>
      </c>
      <c r="AA126" s="218">
        <v>25</v>
      </c>
      <c r="AB126" s="218">
        <v>1</v>
      </c>
      <c r="AC126" s="209">
        <v>10</v>
      </c>
      <c r="AD126" s="208"/>
      <c r="AE126" s="208"/>
      <c r="AF126" s="208"/>
      <c r="AG126" s="208"/>
      <c r="AH126" s="210"/>
      <c r="AI126" s="215"/>
      <c r="AJ126" s="183"/>
    </row>
    <row r="127" spans="1:36" s="4" customFormat="1" ht="60" customHeight="1">
      <c r="A127" s="74" t="s">
        <v>287</v>
      </c>
      <c r="B127" s="61" t="s">
        <v>288</v>
      </c>
      <c r="C127" s="207"/>
      <c r="D127" s="207"/>
      <c r="E127" s="207"/>
      <c r="F127" s="207"/>
      <c r="G127" s="208">
        <v>2008</v>
      </c>
      <c r="H127" s="208">
        <v>25</v>
      </c>
      <c r="I127" s="208">
        <v>0</v>
      </c>
      <c r="J127" s="210">
        <v>0</v>
      </c>
      <c r="K127" s="208"/>
      <c r="L127" s="208"/>
      <c r="M127" s="208"/>
      <c r="N127" s="208"/>
      <c r="O127" s="210"/>
      <c r="P127" s="208"/>
      <c r="Q127" s="211">
        <f>'приложение 1.1'!I126</f>
        <v>2.33</v>
      </c>
      <c r="R127" s="212">
        <v>0</v>
      </c>
      <c r="S127" s="212">
        <f t="shared" si="0"/>
        <v>0.6400000000000001</v>
      </c>
      <c r="T127" s="213">
        <v>1</v>
      </c>
      <c r="U127" s="213">
        <v>0.69</v>
      </c>
      <c r="V127" s="214"/>
      <c r="W127" s="214"/>
      <c r="X127" s="214"/>
      <c r="Y127" s="214"/>
      <c r="Z127" s="208">
        <v>2015</v>
      </c>
      <c r="AA127" s="208">
        <v>25</v>
      </c>
      <c r="AB127" s="208">
        <v>0</v>
      </c>
      <c r="AC127" s="210">
        <v>0</v>
      </c>
      <c r="AD127" s="208"/>
      <c r="AE127" s="208"/>
      <c r="AF127" s="208"/>
      <c r="AG127" s="208"/>
      <c r="AH127" s="210"/>
      <c r="AI127" s="215"/>
      <c r="AJ127" s="183"/>
    </row>
    <row r="128" spans="1:36" s="4" customFormat="1" ht="60" customHeight="1">
      <c r="A128" s="74" t="s">
        <v>289</v>
      </c>
      <c r="B128" s="49" t="s">
        <v>290</v>
      </c>
      <c r="C128" s="207"/>
      <c r="D128" s="207"/>
      <c r="E128" s="207"/>
      <c r="F128" s="207"/>
      <c r="G128" s="208">
        <v>1992</v>
      </c>
      <c r="H128" s="208">
        <v>25</v>
      </c>
      <c r="I128" s="208">
        <v>0</v>
      </c>
      <c r="J128" s="210">
        <v>0</v>
      </c>
      <c r="K128" s="208"/>
      <c r="L128" s="208"/>
      <c r="M128" s="208"/>
      <c r="N128" s="208"/>
      <c r="O128" s="210"/>
      <c r="P128" s="208"/>
      <c r="Q128" s="211">
        <f>'приложение 1.1'!I127</f>
        <v>0.76</v>
      </c>
      <c r="R128" s="212">
        <v>0</v>
      </c>
      <c r="S128" s="212">
        <f t="shared" si="0"/>
        <v>0.16999999999999998</v>
      </c>
      <c r="T128" s="213">
        <f>ROUND(323632/1000000,2)</f>
        <v>0.32</v>
      </c>
      <c r="U128" s="213">
        <f>ROUND(274714/1000000,2)</f>
        <v>0.27</v>
      </c>
      <c r="V128" s="214"/>
      <c r="W128" s="214"/>
      <c r="X128" s="214"/>
      <c r="Y128" s="214"/>
      <c r="Z128" s="208">
        <v>2015</v>
      </c>
      <c r="AA128" s="208">
        <v>25</v>
      </c>
      <c r="AB128" s="208">
        <v>0</v>
      </c>
      <c r="AC128" s="210">
        <v>0</v>
      </c>
      <c r="AD128" s="208"/>
      <c r="AE128" s="208"/>
      <c r="AF128" s="208"/>
      <c r="AG128" s="208"/>
      <c r="AH128" s="210"/>
      <c r="AI128" s="215"/>
      <c r="AJ128" s="183"/>
    </row>
    <row r="129" spans="1:36" s="4" customFormat="1" ht="60" customHeight="1">
      <c r="A129" s="74" t="s">
        <v>291</v>
      </c>
      <c r="B129" s="49" t="s">
        <v>292</v>
      </c>
      <c r="C129" s="207"/>
      <c r="D129" s="207"/>
      <c r="E129" s="207"/>
      <c r="F129" s="207"/>
      <c r="G129" s="208">
        <v>1990</v>
      </c>
      <c r="H129" s="208">
        <v>25</v>
      </c>
      <c r="I129" s="208">
        <v>0</v>
      </c>
      <c r="J129" s="210">
        <v>0</v>
      </c>
      <c r="K129" s="208"/>
      <c r="L129" s="208"/>
      <c r="M129" s="208"/>
      <c r="N129" s="208"/>
      <c r="O129" s="210"/>
      <c r="P129" s="208"/>
      <c r="Q129" s="211">
        <f>'приложение 1.1'!I128</f>
        <v>4.78</v>
      </c>
      <c r="R129" s="212">
        <v>0</v>
      </c>
      <c r="S129" s="212">
        <f t="shared" si="0"/>
        <v>1.1</v>
      </c>
      <c r="T129" s="213">
        <f>ROUND(2407171/1000000,2)</f>
        <v>2.41</v>
      </c>
      <c r="U129" s="213">
        <f>ROUND(1273890/1000000,2)</f>
        <v>1.27</v>
      </c>
      <c r="V129" s="214"/>
      <c r="W129" s="214"/>
      <c r="X129" s="214"/>
      <c r="Y129" s="214"/>
      <c r="Z129" s="208">
        <v>2015</v>
      </c>
      <c r="AA129" s="208">
        <v>25</v>
      </c>
      <c r="AB129" s="208">
        <v>0</v>
      </c>
      <c r="AC129" s="210">
        <v>0</v>
      </c>
      <c r="AD129" s="208"/>
      <c r="AE129" s="208"/>
      <c r="AF129" s="208"/>
      <c r="AG129" s="208"/>
      <c r="AH129" s="210"/>
      <c r="AI129" s="215"/>
      <c r="AJ129" s="183"/>
    </row>
    <row r="130" spans="1:36" s="4" customFormat="1" ht="60" customHeight="1">
      <c r="A130" s="74" t="s">
        <v>293</v>
      </c>
      <c r="B130" s="49" t="s">
        <v>294</v>
      </c>
      <c r="C130" s="207"/>
      <c r="D130" s="207"/>
      <c r="E130" s="207"/>
      <c r="F130" s="207"/>
      <c r="G130" s="208">
        <v>1975</v>
      </c>
      <c r="H130" s="208">
        <v>25</v>
      </c>
      <c r="I130" s="208">
        <v>0</v>
      </c>
      <c r="J130" s="210">
        <v>0</v>
      </c>
      <c r="K130" s="208"/>
      <c r="L130" s="208"/>
      <c r="M130" s="208"/>
      <c r="N130" s="208"/>
      <c r="O130" s="210"/>
      <c r="P130" s="208"/>
      <c r="Q130" s="211">
        <f>'приложение 1.1'!I129</f>
        <v>12.62</v>
      </c>
      <c r="R130" s="212">
        <v>0</v>
      </c>
      <c r="S130" s="212">
        <f t="shared" si="0"/>
        <v>3.1999999999999993</v>
      </c>
      <c r="T130" s="213">
        <f>ROUND(7778208.9/1000000,2)</f>
        <v>7.78</v>
      </c>
      <c r="U130" s="213">
        <f>ROUND(1643133/1000000,2)</f>
        <v>1.64</v>
      </c>
      <c r="V130" s="214"/>
      <c r="W130" s="214"/>
      <c r="X130" s="214"/>
      <c r="Y130" s="214"/>
      <c r="Z130" s="208">
        <v>2016</v>
      </c>
      <c r="AA130" s="208">
        <v>25</v>
      </c>
      <c r="AB130" s="208">
        <v>0</v>
      </c>
      <c r="AC130" s="210">
        <v>0</v>
      </c>
      <c r="AD130" s="208"/>
      <c r="AE130" s="208"/>
      <c r="AF130" s="208"/>
      <c r="AG130" s="208"/>
      <c r="AH130" s="210"/>
      <c r="AI130" s="215"/>
      <c r="AJ130" s="183"/>
    </row>
    <row r="131" spans="1:36" s="4" customFormat="1" ht="60" customHeight="1">
      <c r="A131" s="74" t="s">
        <v>295</v>
      </c>
      <c r="B131" s="62" t="s">
        <v>296</v>
      </c>
      <c r="C131" s="207"/>
      <c r="D131" s="207"/>
      <c r="E131" s="207"/>
      <c r="F131" s="207"/>
      <c r="G131" s="208"/>
      <c r="H131" s="208"/>
      <c r="I131" s="208"/>
      <c r="J131" s="209"/>
      <c r="K131" s="218">
        <v>1989</v>
      </c>
      <c r="L131" s="218">
        <v>30</v>
      </c>
      <c r="M131" s="208"/>
      <c r="N131" s="218" t="s">
        <v>436</v>
      </c>
      <c r="O131" s="223">
        <v>0.135</v>
      </c>
      <c r="P131" s="208"/>
      <c r="Q131" s="211">
        <f>'приложение 1.1'!I130</f>
        <v>0.83426</v>
      </c>
      <c r="R131" s="212">
        <v>0</v>
      </c>
      <c r="S131" s="221">
        <f t="shared" si="0"/>
        <v>0.6542600000000001</v>
      </c>
      <c r="T131" s="220">
        <f>ROUND(37882/1000000*4.62,2)</f>
        <v>0.18</v>
      </c>
      <c r="U131" s="220">
        <f>ROUND(300/1000000*5.6,2)</f>
        <v>0</v>
      </c>
      <c r="V131" s="214"/>
      <c r="W131" s="214"/>
      <c r="X131" s="214"/>
      <c r="Y131" s="214"/>
      <c r="Z131" s="208"/>
      <c r="AA131" s="208"/>
      <c r="AB131" s="208"/>
      <c r="AC131" s="209"/>
      <c r="AD131" s="218">
        <v>2016</v>
      </c>
      <c r="AE131" s="218">
        <v>30</v>
      </c>
      <c r="AF131" s="208"/>
      <c r="AG131" s="218" t="s">
        <v>437</v>
      </c>
      <c r="AH131" s="223">
        <v>0.135</v>
      </c>
      <c r="AI131" s="215"/>
      <c r="AJ131" s="183"/>
    </row>
    <row r="132" spans="1:36" s="4" customFormat="1" ht="60" customHeight="1">
      <c r="A132" s="74" t="s">
        <v>297</v>
      </c>
      <c r="B132" s="62" t="s">
        <v>298</v>
      </c>
      <c r="C132" s="207"/>
      <c r="D132" s="207"/>
      <c r="E132" s="207"/>
      <c r="F132" s="207"/>
      <c r="G132" s="208"/>
      <c r="H132" s="208"/>
      <c r="I132" s="208"/>
      <c r="J132" s="209"/>
      <c r="K132" s="218">
        <v>1987</v>
      </c>
      <c r="L132" s="218">
        <v>30</v>
      </c>
      <c r="M132" s="208"/>
      <c r="N132" s="218" t="s">
        <v>420</v>
      </c>
      <c r="O132" s="223">
        <v>0.145</v>
      </c>
      <c r="P132" s="208"/>
      <c r="Q132" s="211">
        <f>'приложение 1.1'!I131</f>
        <v>0.6962</v>
      </c>
      <c r="R132" s="212">
        <v>0</v>
      </c>
      <c r="S132" s="221">
        <f t="shared" si="0"/>
        <v>0.5162</v>
      </c>
      <c r="T132" s="220">
        <f>ROUND(39707/1000000*4.62,2)</f>
        <v>0.18</v>
      </c>
      <c r="U132" s="220">
        <f>ROUND(300/1000000*5.6,2)</f>
        <v>0</v>
      </c>
      <c r="V132" s="214"/>
      <c r="W132" s="214"/>
      <c r="X132" s="214"/>
      <c r="Y132" s="214"/>
      <c r="Z132" s="208"/>
      <c r="AA132" s="208"/>
      <c r="AB132" s="208"/>
      <c r="AC132" s="209"/>
      <c r="AD132" s="218">
        <v>2016</v>
      </c>
      <c r="AE132" s="218">
        <v>30</v>
      </c>
      <c r="AF132" s="208"/>
      <c r="AG132" s="218" t="s">
        <v>421</v>
      </c>
      <c r="AH132" s="223">
        <v>0.145</v>
      </c>
      <c r="AI132" s="215"/>
      <c r="AJ132" s="183"/>
    </row>
    <row r="133" spans="1:36" s="4" customFormat="1" ht="60" customHeight="1">
      <c r="A133" s="74" t="s">
        <v>299</v>
      </c>
      <c r="B133" s="62" t="s">
        <v>300</v>
      </c>
      <c r="C133" s="207"/>
      <c r="D133" s="207"/>
      <c r="E133" s="207"/>
      <c r="F133" s="207"/>
      <c r="G133" s="208"/>
      <c r="H133" s="208"/>
      <c r="I133" s="208"/>
      <c r="J133" s="209"/>
      <c r="K133" s="218">
        <v>1986</v>
      </c>
      <c r="L133" s="218">
        <v>30</v>
      </c>
      <c r="M133" s="218"/>
      <c r="N133" s="218" t="s">
        <v>420</v>
      </c>
      <c r="O133" s="223">
        <v>0.2</v>
      </c>
      <c r="P133" s="208"/>
      <c r="Q133" s="211">
        <f>'приложение 1.1'!I132</f>
        <v>0.49560000000000004</v>
      </c>
      <c r="R133" s="212">
        <v>0</v>
      </c>
      <c r="S133" s="221">
        <f t="shared" si="0"/>
        <v>0.23560000000000003</v>
      </c>
      <c r="T133" s="220">
        <f>ROUND(53565/1000000*4.62,2)</f>
        <v>0.25</v>
      </c>
      <c r="U133" s="220">
        <f>ROUND(6899/1000000,2)</f>
        <v>0.01</v>
      </c>
      <c r="V133" s="214"/>
      <c r="W133" s="214"/>
      <c r="X133" s="214"/>
      <c r="Y133" s="214"/>
      <c r="Z133" s="208"/>
      <c r="AA133" s="208"/>
      <c r="AB133" s="208"/>
      <c r="AC133" s="209"/>
      <c r="AD133" s="218">
        <v>2016</v>
      </c>
      <c r="AE133" s="218">
        <v>30</v>
      </c>
      <c r="AF133" s="218"/>
      <c r="AG133" s="218" t="s">
        <v>421</v>
      </c>
      <c r="AH133" s="223">
        <v>0.2</v>
      </c>
      <c r="AI133" s="215"/>
      <c r="AJ133" s="183"/>
    </row>
    <row r="134" spans="1:36" s="4" customFormat="1" ht="60" customHeight="1">
      <c r="A134" s="74" t="s">
        <v>301</v>
      </c>
      <c r="B134" s="62" t="s">
        <v>302</v>
      </c>
      <c r="C134" s="207"/>
      <c r="D134" s="207"/>
      <c r="E134" s="207"/>
      <c r="F134" s="207"/>
      <c r="G134" s="218">
        <v>2010</v>
      </c>
      <c r="H134" s="218">
        <v>25</v>
      </c>
      <c r="I134" s="208">
        <v>2</v>
      </c>
      <c r="J134" s="209">
        <v>2</v>
      </c>
      <c r="K134" s="208"/>
      <c r="L134" s="208"/>
      <c r="M134" s="208"/>
      <c r="N134" s="208"/>
      <c r="O134" s="210"/>
      <c r="P134" s="208"/>
      <c r="Q134" s="211">
        <f>'приложение 1.1'!I133</f>
        <v>0.49560000000000004</v>
      </c>
      <c r="R134" s="212">
        <v>0</v>
      </c>
      <c r="S134" s="221">
        <f t="shared" si="0"/>
        <v>0.22560000000000002</v>
      </c>
      <c r="T134" s="220">
        <f>ROUND(14583/1000000*4.62,2)</f>
        <v>0.07</v>
      </c>
      <c r="U134" s="220">
        <f>ROUND(198337/1000000,2)</f>
        <v>0.2</v>
      </c>
      <c r="V134" s="214"/>
      <c r="W134" s="214"/>
      <c r="X134" s="214"/>
      <c r="Y134" s="214"/>
      <c r="Z134" s="218">
        <v>2016</v>
      </c>
      <c r="AA134" s="218">
        <v>25</v>
      </c>
      <c r="AB134" s="208">
        <v>2</v>
      </c>
      <c r="AC134" s="209">
        <v>2</v>
      </c>
      <c r="AD134" s="208"/>
      <c r="AE134" s="208"/>
      <c r="AF134" s="208"/>
      <c r="AG134" s="208"/>
      <c r="AH134" s="210"/>
      <c r="AI134" s="215"/>
      <c r="AJ134" s="183"/>
    </row>
    <row r="135" spans="1:36" s="4" customFormat="1" ht="60" customHeight="1">
      <c r="A135" s="74" t="s">
        <v>303</v>
      </c>
      <c r="B135" s="62" t="s">
        <v>304</v>
      </c>
      <c r="C135" s="207"/>
      <c r="D135" s="207"/>
      <c r="E135" s="207"/>
      <c r="F135" s="207"/>
      <c r="G135" s="218">
        <v>1996</v>
      </c>
      <c r="H135" s="218">
        <v>25</v>
      </c>
      <c r="I135" s="208">
        <v>1</v>
      </c>
      <c r="J135" s="209">
        <v>0.4</v>
      </c>
      <c r="K135" s="208"/>
      <c r="L135" s="208"/>
      <c r="M135" s="208"/>
      <c r="N135" s="208"/>
      <c r="O135" s="210"/>
      <c r="P135" s="208"/>
      <c r="Q135" s="211">
        <f>'приложение 1.1'!I134</f>
        <v>0.6372</v>
      </c>
      <c r="R135" s="212">
        <v>0</v>
      </c>
      <c r="S135" s="221">
        <f t="shared" si="0"/>
        <v>0.22719999999999999</v>
      </c>
      <c r="T135" s="220">
        <f>ROUND(84422/1000000*4.62,2)</f>
        <v>0.39</v>
      </c>
      <c r="U135" s="220">
        <f>ROUND(22994/1000000,2)</f>
        <v>0.02</v>
      </c>
      <c r="V135" s="214"/>
      <c r="W135" s="214"/>
      <c r="X135" s="214"/>
      <c r="Y135" s="214"/>
      <c r="Z135" s="218">
        <v>2016</v>
      </c>
      <c r="AA135" s="218">
        <v>25</v>
      </c>
      <c r="AB135" s="208">
        <v>1</v>
      </c>
      <c r="AC135" s="209">
        <v>0.25</v>
      </c>
      <c r="AD135" s="208"/>
      <c r="AE135" s="208"/>
      <c r="AF135" s="208"/>
      <c r="AG135" s="208"/>
      <c r="AH135" s="210"/>
      <c r="AI135" s="215"/>
      <c r="AJ135" s="183"/>
    </row>
    <row r="136" spans="1:36" s="4" customFormat="1" ht="60" customHeight="1">
      <c r="A136" s="74" t="s">
        <v>305</v>
      </c>
      <c r="B136" s="62" t="s">
        <v>306</v>
      </c>
      <c r="C136" s="207"/>
      <c r="D136" s="207"/>
      <c r="E136" s="207"/>
      <c r="F136" s="207"/>
      <c r="G136" s="218">
        <v>2004</v>
      </c>
      <c r="H136" s="218">
        <v>25</v>
      </c>
      <c r="I136" s="208">
        <v>1</v>
      </c>
      <c r="J136" s="209">
        <v>0.25</v>
      </c>
      <c r="K136" s="208"/>
      <c r="L136" s="208"/>
      <c r="M136" s="208"/>
      <c r="N136" s="208"/>
      <c r="O136" s="210"/>
      <c r="P136" s="208"/>
      <c r="Q136" s="211">
        <f>'приложение 1.1'!I135</f>
        <v>0.7552</v>
      </c>
      <c r="R136" s="212">
        <v>0</v>
      </c>
      <c r="S136" s="221">
        <f t="shared" si="0"/>
        <v>0.22519999999999998</v>
      </c>
      <c r="T136" s="220">
        <f>ROUND(110480/1000000*4.62,2)</f>
        <v>0.51</v>
      </c>
      <c r="U136" s="220">
        <f>ROUND(15963/1000000,2)</f>
        <v>0.02</v>
      </c>
      <c r="V136" s="214"/>
      <c r="W136" s="214"/>
      <c r="X136" s="214"/>
      <c r="Y136" s="214"/>
      <c r="Z136" s="218">
        <v>2016</v>
      </c>
      <c r="AA136" s="218">
        <v>25</v>
      </c>
      <c r="AB136" s="208">
        <v>1</v>
      </c>
      <c r="AC136" s="209">
        <v>0.4</v>
      </c>
      <c r="AD136" s="208"/>
      <c r="AE136" s="208"/>
      <c r="AF136" s="208"/>
      <c r="AG136" s="208"/>
      <c r="AH136" s="210"/>
      <c r="AI136" s="215"/>
      <c r="AJ136" s="183"/>
    </row>
    <row r="137" spans="1:36" s="4" customFormat="1" ht="60" customHeight="1">
      <c r="A137" s="74" t="s">
        <v>307</v>
      </c>
      <c r="B137" s="62" t="s">
        <v>308</v>
      </c>
      <c r="C137" s="207"/>
      <c r="D137" s="207"/>
      <c r="E137" s="207"/>
      <c r="F137" s="207"/>
      <c r="G137" s="218">
        <v>1995</v>
      </c>
      <c r="H137" s="218">
        <v>25</v>
      </c>
      <c r="I137" s="208">
        <v>1</v>
      </c>
      <c r="J137" s="210">
        <v>0.4</v>
      </c>
      <c r="K137" s="208"/>
      <c r="L137" s="208"/>
      <c r="M137" s="208"/>
      <c r="N137" s="208"/>
      <c r="O137" s="210"/>
      <c r="P137" s="208"/>
      <c r="Q137" s="211">
        <f>'приложение 1.1'!I136</f>
        <v>0.6372</v>
      </c>
      <c r="R137" s="212">
        <v>0</v>
      </c>
      <c r="S137" s="221">
        <f t="shared" si="0"/>
        <v>0.22719999999999999</v>
      </c>
      <c r="T137" s="220">
        <f>ROUND(84422/1000000*4.62,2)</f>
        <v>0.39</v>
      </c>
      <c r="U137" s="220">
        <f>ROUND(22994/1000000,2)</f>
        <v>0.02</v>
      </c>
      <c r="V137" s="214"/>
      <c r="W137" s="214"/>
      <c r="X137" s="214"/>
      <c r="Y137" s="214"/>
      <c r="Z137" s="218">
        <v>2016</v>
      </c>
      <c r="AA137" s="218">
        <v>25</v>
      </c>
      <c r="AB137" s="208">
        <v>1</v>
      </c>
      <c r="AC137" s="210">
        <v>0.25</v>
      </c>
      <c r="AD137" s="208"/>
      <c r="AE137" s="208"/>
      <c r="AF137" s="208"/>
      <c r="AG137" s="208"/>
      <c r="AH137" s="210"/>
      <c r="AI137" s="215"/>
      <c r="AJ137" s="183"/>
    </row>
    <row r="138" spans="1:36" s="4" customFormat="1" ht="60" customHeight="1">
      <c r="A138" s="74" t="s">
        <v>309</v>
      </c>
      <c r="B138" s="62" t="s">
        <v>310</v>
      </c>
      <c r="C138" s="207"/>
      <c r="D138" s="207"/>
      <c r="E138" s="207"/>
      <c r="F138" s="207"/>
      <c r="G138" s="218">
        <v>1995</v>
      </c>
      <c r="H138" s="218">
        <v>25</v>
      </c>
      <c r="I138" s="208">
        <v>1</v>
      </c>
      <c r="J138" s="209">
        <v>0.4</v>
      </c>
      <c r="K138" s="208"/>
      <c r="L138" s="208"/>
      <c r="M138" s="208"/>
      <c r="N138" s="208"/>
      <c r="O138" s="210"/>
      <c r="P138" s="208"/>
      <c r="Q138" s="211">
        <f>'приложение 1.1'!I137</f>
        <v>0.6372</v>
      </c>
      <c r="R138" s="212">
        <v>0</v>
      </c>
      <c r="S138" s="221">
        <f t="shared" si="0"/>
        <v>0.22719999999999999</v>
      </c>
      <c r="T138" s="220">
        <f>ROUND(84422/1000000*4.62,2)</f>
        <v>0.39</v>
      </c>
      <c r="U138" s="220">
        <f>ROUND(22994/1000000,2)</f>
        <v>0.02</v>
      </c>
      <c r="V138" s="214"/>
      <c r="W138" s="214"/>
      <c r="X138" s="214"/>
      <c r="Y138" s="214"/>
      <c r="Z138" s="218">
        <v>2016</v>
      </c>
      <c r="AA138" s="218">
        <v>25</v>
      </c>
      <c r="AB138" s="208">
        <v>1</v>
      </c>
      <c r="AC138" s="209">
        <v>0.25</v>
      </c>
      <c r="AD138" s="208"/>
      <c r="AE138" s="208"/>
      <c r="AF138" s="208"/>
      <c r="AG138" s="208"/>
      <c r="AH138" s="210"/>
      <c r="AI138" s="215"/>
      <c r="AJ138" s="183"/>
    </row>
    <row r="139" spans="1:36" s="4" customFormat="1" ht="60" customHeight="1">
      <c r="A139" s="74" t="s">
        <v>311</v>
      </c>
      <c r="B139" s="58" t="s">
        <v>312</v>
      </c>
      <c r="C139" s="207"/>
      <c r="D139" s="207"/>
      <c r="E139" s="207"/>
      <c r="F139" s="207"/>
      <c r="G139" s="218">
        <v>1988</v>
      </c>
      <c r="H139" s="218">
        <v>25</v>
      </c>
      <c r="I139" s="208">
        <v>2</v>
      </c>
      <c r="J139" s="209">
        <v>20</v>
      </c>
      <c r="K139" s="208"/>
      <c r="L139" s="208"/>
      <c r="M139" s="208"/>
      <c r="N139" s="208"/>
      <c r="O139" s="210"/>
      <c r="P139" s="208"/>
      <c r="Q139" s="211">
        <f>'приложение 1.1'!I138</f>
        <v>5.6168</v>
      </c>
      <c r="R139" s="212">
        <v>0</v>
      </c>
      <c r="S139" s="221">
        <f t="shared" si="0"/>
        <v>2.0367999999999995</v>
      </c>
      <c r="T139" s="220">
        <f>ROUND(715444/1000000*4.62,2)</f>
        <v>3.31</v>
      </c>
      <c r="U139" s="220">
        <f>ROUND(270962/1000000,2)</f>
        <v>0.27</v>
      </c>
      <c r="V139" s="214"/>
      <c r="W139" s="214"/>
      <c r="X139" s="214"/>
      <c r="Y139" s="214"/>
      <c r="Z139" s="218">
        <v>2016</v>
      </c>
      <c r="AA139" s="218">
        <v>25</v>
      </c>
      <c r="AB139" s="208">
        <v>2</v>
      </c>
      <c r="AC139" s="209">
        <v>20</v>
      </c>
      <c r="AD139" s="208"/>
      <c r="AE139" s="208"/>
      <c r="AF139" s="208"/>
      <c r="AG139" s="208"/>
      <c r="AH139" s="210"/>
      <c r="AI139" s="215"/>
      <c r="AJ139" s="183"/>
    </row>
    <row r="140" spans="1:36" ht="43.5" customHeight="1">
      <c r="A140" s="224" t="s">
        <v>313</v>
      </c>
      <c r="B140" s="225" t="s">
        <v>314</v>
      </c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7"/>
      <c r="R140" s="228"/>
      <c r="S140" s="228"/>
      <c r="T140" s="228"/>
      <c r="U140" s="228"/>
      <c r="V140" s="226"/>
      <c r="W140" s="226"/>
      <c r="X140" s="226"/>
      <c r="Y140" s="226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9"/>
      <c r="AJ140" s="183"/>
    </row>
    <row r="141" spans="1:36" ht="15.75">
      <c r="A141" s="230"/>
      <c r="B141" s="231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3"/>
      <c r="R141" s="234"/>
      <c r="S141" s="234"/>
      <c r="T141" s="234"/>
      <c r="U141" s="234"/>
      <c r="V141" s="232"/>
      <c r="W141" s="232"/>
      <c r="X141" s="232"/>
      <c r="Y141" s="232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35"/>
      <c r="AJ141" s="183"/>
    </row>
    <row r="142" spans="1:36" ht="28.5">
      <c r="A142" s="224" t="s">
        <v>315</v>
      </c>
      <c r="B142" s="225" t="s">
        <v>316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36"/>
      <c r="R142" s="228"/>
      <c r="S142" s="228"/>
      <c r="T142" s="228"/>
      <c r="U142" s="228"/>
      <c r="V142" s="226"/>
      <c r="W142" s="226"/>
      <c r="X142" s="226"/>
      <c r="Y142" s="226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9"/>
      <c r="AJ142" s="183"/>
    </row>
    <row r="143" spans="1:36" ht="30.75" customHeight="1">
      <c r="A143" s="230"/>
      <c r="B143" s="231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3"/>
      <c r="R143" s="234"/>
      <c r="S143" s="234"/>
      <c r="T143" s="234"/>
      <c r="U143" s="234"/>
      <c r="V143" s="232"/>
      <c r="W143" s="232"/>
      <c r="X143" s="232"/>
      <c r="Y143" s="232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35"/>
      <c r="AJ143" s="183"/>
    </row>
    <row r="144" spans="1:36" ht="63" customHeight="1">
      <c r="A144" s="224" t="s">
        <v>317</v>
      </c>
      <c r="B144" s="225" t="s">
        <v>318</v>
      </c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7"/>
      <c r="R144" s="228"/>
      <c r="S144" s="228"/>
      <c r="T144" s="228"/>
      <c r="U144" s="228"/>
      <c r="V144" s="226"/>
      <c r="W144" s="226"/>
      <c r="X144" s="226"/>
      <c r="Y144" s="226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9"/>
      <c r="AJ144" s="183"/>
    </row>
    <row r="145" spans="1:36" s="100" customFormat="1" ht="15.75">
      <c r="A145" s="237" t="s">
        <v>319</v>
      </c>
      <c r="B145" s="172" t="s">
        <v>320</v>
      </c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9">
        <f>Q146+Q148</f>
        <v>27.453999999999997</v>
      </c>
      <c r="R145" s="239">
        <f>R146+R148</f>
        <v>1.5299999999999998</v>
      </c>
      <c r="S145" s="239">
        <f>S146+S148</f>
        <v>16.764</v>
      </c>
      <c r="T145" s="239">
        <f>T146+T148</f>
        <v>8.91</v>
      </c>
      <c r="U145" s="239">
        <f>U146+U148</f>
        <v>0.25</v>
      </c>
      <c r="V145" s="240" t="s">
        <v>37</v>
      </c>
      <c r="W145" s="238"/>
      <c r="X145" s="238"/>
      <c r="Y145" s="238"/>
      <c r="Z145" s="241"/>
      <c r="AA145" s="241"/>
      <c r="AB145" s="241"/>
      <c r="AC145" s="239">
        <f>AC170+AC163+AC149</f>
        <v>2</v>
      </c>
      <c r="AD145" s="241"/>
      <c r="AE145" s="241"/>
      <c r="AF145" s="241"/>
      <c r="AG145" s="241"/>
      <c r="AH145" s="239">
        <f>AH170+AH163+AH149+AH146</f>
        <v>13.62</v>
      </c>
      <c r="AI145" s="242"/>
      <c r="AJ145" s="183"/>
    </row>
    <row r="146" spans="1:36" s="100" customFormat="1" ht="28.5">
      <c r="A146" s="243" t="s">
        <v>321</v>
      </c>
      <c r="B146" s="244" t="s">
        <v>75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6">
        <f>Q147</f>
        <v>1.7</v>
      </c>
      <c r="R146" s="246">
        <f>R147</f>
        <v>0</v>
      </c>
      <c r="S146" s="246">
        <f>S147</f>
        <v>0.75</v>
      </c>
      <c r="T146" s="246">
        <f>T147</f>
        <v>0.89</v>
      </c>
      <c r="U146" s="246">
        <f>U147</f>
        <v>0.06</v>
      </c>
      <c r="V146" s="245"/>
      <c r="W146" s="245"/>
      <c r="X146" s="245"/>
      <c r="Y146" s="245"/>
      <c r="Z146" s="244"/>
      <c r="AA146" s="244"/>
      <c r="AB146" s="244"/>
      <c r="AC146" s="244"/>
      <c r="AD146" s="244"/>
      <c r="AE146" s="244"/>
      <c r="AF146" s="244"/>
      <c r="AG146" s="244"/>
      <c r="AH146" s="246">
        <f>AH147</f>
        <v>0.61</v>
      </c>
      <c r="AI146" s="247"/>
      <c r="AJ146" s="183"/>
    </row>
    <row r="147" spans="1:36" ht="15.75">
      <c r="A147" s="248" t="s">
        <v>322</v>
      </c>
      <c r="B147" s="249" t="s">
        <v>323</v>
      </c>
      <c r="C147" s="250" t="s">
        <v>324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108">
        <v>1.7</v>
      </c>
      <c r="R147" s="137"/>
      <c r="S147" s="108">
        <f>Q147-R147-T147-U147</f>
        <v>0.75</v>
      </c>
      <c r="T147" s="107">
        <f>ROUND(182091/1000000*4.91,2)</f>
        <v>0.89</v>
      </c>
      <c r="U147" s="107">
        <f>ROUND(11277/1000000*4.91,2)</f>
        <v>0.06</v>
      </c>
      <c r="V147" s="232"/>
      <c r="W147" s="232"/>
      <c r="X147" s="232"/>
      <c r="Y147" s="232"/>
      <c r="Z147" s="251"/>
      <c r="AA147" s="218"/>
      <c r="AB147" s="218"/>
      <c r="AC147" s="218"/>
      <c r="AD147" s="218">
        <v>2014</v>
      </c>
      <c r="AE147" s="218">
        <v>30</v>
      </c>
      <c r="AF147" s="218"/>
      <c r="AG147" s="216" t="s">
        <v>438</v>
      </c>
      <c r="AH147" s="234">
        <v>0.61</v>
      </c>
      <c r="AI147" s="235"/>
      <c r="AJ147" s="183"/>
    </row>
    <row r="148" spans="1:36" s="100" customFormat="1" ht="15.75">
      <c r="A148" s="243" t="s">
        <v>325</v>
      </c>
      <c r="B148" s="244" t="s">
        <v>326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 t="s">
        <v>37</v>
      </c>
      <c r="P148" s="245"/>
      <c r="Q148" s="246">
        <f>Q149+Q163+Q170+Q172</f>
        <v>25.753999999999998</v>
      </c>
      <c r="R148" s="246">
        <f>R149+R163+R170+R172</f>
        <v>1.5299999999999998</v>
      </c>
      <c r="S148" s="246">
        <f>S149+S163+S170+S172</f>
        <v>16.014</v>
      </c>
      <c r="T148" s="246">
        <f>T149+T163+T170+T172</f>
        <v>8.02</v>
      </c>
      <c r="U148" s="246">
        <f>U149+U163+U170+U172</f>
        <v>0.19</v>
      </c>
      <c r="V148" s="245"/>
      <c r="W148" s="245"/>
      <c r="X148" s="245"/>
      <c r="Y148" s="245"/>
      <c r="Z148" s="244"/>
      <c r="AA148" s="244"/>
      <c r="AB148" s="244"/>
      <c r="AC148" s="244"/>
      <c r="AD148" s="244"/>
      <c r="AE148" s="244"/>
      <c r="AF148" s="244"/>
      <c r="AG148" s="244"/>
      <c r="AH148" s="246">
        <f>AH149+AH163</f>
        <v>13.01</v>
      </c>
      <c r="AI148" s="247"/>
      <c r="AJ148" s="183"/>
    </row>
    <row r="149" spans="1:36" s="100" customFormat="1" ht="15.75">
      <c r="A149" s="243" t="s">
        <v>327</v>
      </c>
      <c r="B149" s="244" t="s">
        <v>328</v>
      </c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6">
        <f>SUM(Q150:Q162)</f>
        <v>5.569999999999999</v>
      </c>
      <c r="R149" s="246">
        <f>SUM(R150:R162)</f>
        <v>0.36</v>
      </c>
      <c r="S149" s="246">
        <f>SUM(S150:S162)</f>
        <v>4.3</v>
      </c>
      <c r="T149" s="246">
        <f>SUM(T150:T162)</f>
        <v>0.8999999999999999</v>
      </c>
      <c r="U149" s="246">
        <f>SUM(U150:U162)</f>
        <v>0.01</v>
      </c>
      <c r="V149" s="245"/>
      <c r="W149" s="245"/>
      <c r="X149" s="245"/>
      <c r="Y149" s="245"/>
      <c r="Z149" s="244"/>
      <c r="AA149" s="244"/>
      <c r="AB149" s="244"/>
      <c r="AC149" s="244"/>
      <c r="AD149" s="244"/>
      <c r="AE149" s="244"/>
      <c r="AF149" s="244"/>
      <c r="AG149" s="244"/>
      <c r="AH149" s="246">
        <f>SUM(AH150:AH162)</f>
        <v>4.800000000000001</v>
      </c>
      <c r="AI149" s="247"/>
      <c r="AJ149" s="183"/>
    </row>
    <row r="150" spans="1:36" s="25" customFormat="1" ht="31.5">
      <c r="A150" s="252" t="s">
        <v>329</v>
      </c>
      <c r="B150" s="106" t="s">
        <v>330</v>
      </c>
      <c r="C150" s="209" t="s">
        <v>324</v>
      </c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108">
        <f>'приложение 1.1'!I150</f>
        <v>0.19</v>
      </c>
      <c r="R150" s="107">
        <f>ROUND(93424/1000000,2)</f>
        <v>0.09</v>
      </c>
      <c r="S150" s="108">
        <f aca="true" t="shared" si="1" ref="S150:S162">Q150-R150-T150-U150</f>
        <v>0.060000000000000005</v>
      </c>
      <c r="T150" s="107">
        <f>ROUND(8478/1000000*4.91,2)</f>
        <v>0.04</v>
      </c>
      <c r="U150" s="107">
        <v>0</v>
      </c>
      <c r="V150" s="253"/>
      <c r="W150" s="253"/>
      <c r="X150" s="253"/>
      <c r="Y150" s="253"/>
      <c r="Z150" s="254"/>
      <c r="AA150" s="254"/>
      <c r="AB150" s="254"/>
      <c r="AC150" s="254"/>
      <c r="AD150" s="218">
        <v>2014</v>
      </c>
      <c r="AE150" s="208">
        <v>30</v>
      </c>
      <c r="AF150" s="254"/>
      <c r="AG150" s="216" t="s">
        <v>439</v>
      </c>
      <c r="AH150" s="110">
        <v>0.09</v>
      </c>
      <c r="AI150" s="255"/>
      <c r="AJ150" s="183"/>
    </row>
    <row r="151" spans="1:36" s="25" customFormat="1" ht="31.5">
      <c r="A151" s="252" t="s">
        <v>331</v>
      </c>
      <c r="B151" s="106" t="s">
        <v>332</v>
      </c>
      <c r="C151" s="209" t="s">
        <v>324</v>
      </c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108">
        <f>'приложение 1.1'!I151</f>
        <v>0.4</v>
      </c>
      <c r="R151" s="107">
        <f>ROUND(119570/1000000,2)</f>
        <v>0.12</v>
      </c>
      <c r="S151" s="108">
        <f t="shared" si="1"/>
        <v>0.18000000000000002</v>
      </c>
      <c r="T151" s="107">
        <f>ROUND(20120/1000000*4.91,2)</f>
        <v>0.1</v>
      </c>
      <c r="U151" s="107">
        <v>0</v>
      </c>
      <c r="V151" s="253"/>
      <c r="W151" s="253"/>
      <c r="X151" s="253"/>
      <c r="Y151" s="253"/>
      <c r="Z151" s="254"/>
      <c r="AA151" s="254"/>
      <c r="AB151" s="254"/>
      <c r="AC151" s="254"/>
      <c r="AD151" s="218">
        <v>2014</v>
      </c>
      <c r="AE151" s="208">
        <v>30</v>
      </c>
      <c r="AF151" s="254"/>
      <c r="AG151" s="216" t="s">
        <v>439</v>
      </c>
      <c r="AH151" s="110">
        <v>0.26</v>
      </c>
      <c r="AI151" s="255"/>
      <c r="AJ151" s="183"/>
    </row>
    <row r="152" spans="1:36" s="25" customFormat="1" ht="31.5">
      <c r="A152" s="252" t="s">
        <v>333</v>
      </c>
      <c r="B152" s="106" t="s">
        <v>334</v>
      </c>
      <c r="C152" s="209" t="s">
        <v>324</v>
      </c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108">
        <f>'приложение 1.1'!I152</f>
        <v>0.19</v>
      </c>
      <c r="R152" s="107">
        <f>ROUND(92785.8/1000000,2)</f>
        <v>0.09</v>
      </c>
      <c r="S152" s="108">
        <f t="shared" si="1"/>
        <v>0.060000000000000005</v>
      </c>
      <c r="T152" s="107">
        <f>ROUND(8692/1000000*4.91,2)</f>
        <v>0.04</v>
      </c>
      <c r="U152" s="107">
        <v>0</v>
      </c>
      <c r="V152" s="253"/>
      <c r="W152" s="253"/>
      <c r="X152" s="253"/>
      <c r="Y152" s="253"/>
      <c r="Z152" s="254"/>
      <c r="AA152" s="254"/>
      <c r="AB152" s="254"/>
      <c r="AC152" s="254"/>
      <c r="AD152" s="218">
        <v>2014</v>
      </c>
      <c r="AE152" s="208">
        <v>30</v>
      </c>
      <c r="AF152" s="254"/>
      <c r="AG152" s="216" t="s">
        <v>439</v>
      </c>
      <c r="AH152" s="110">
        <v>0.05</v>
      </c>
      <c r="AI152" s="255"/>
      <c r="AJ152" s="183"/>
    </row>
    <row r="153" spans="1:36" ht="34.5" customHeight="1">
      <c r="A153" s="252" t="s">
        <v>335</v>
      </c>
      <c r="B153" s="256" t="s">
        <v>336</v>
      </c>
      <c r="C153" s="209" t="s">
        <v>324</v>
      </c>
      <c r="D153" s="234"/>
      <c r="E153" s="234"/>
      <c r="F153" s="251"/>
      <c r="G153" s="251"/>
      <c r="H153" s="221"/>
      <c r="I153" s="257"/>
      <c r="J153" s="234"/>
      <c r="K153" s="251"/>
      <c r="L153" s="234"/>
      <c r="M153" s="258"/>
      <c r="N153" s="258"/>
      <c r="O153" s="234"/>
      <c r="P153" s="258"/>
      <c r="Q153" s="108">
        <f>'приложение 1.1'!I153</f>
        <v>1.15</v>
      </c>
      <c r="R153" s="220">
        <f>ROUND(26100/1000000,2)</f>
        <v>0.03</v>
      </c>
      <c r="S153" s="221">
        <f t="shared" si="1"/>
        <v>1.1199999999999999</v>
      </c>
      <c r="T153" s="259">
        <v>0</v>
      </c>
      <c r="U153" s="220">
        <f>ROUND(1635/1000000,2)</f>
        <v>0</v>
      </c>
      <c r="V153" s="232"/>
      <c r="W153" s="232"/>
      <c r="X153" s="232"/>
      <c r="Y153" s="232"/>
      <c r="Z153" s="232"/>
      <c r="AA153" s="218"/>
      <c r="AB153" s="218"/>
      <c r="AC153" s="218"/>
      <c r="AD153" s="218">
        <v>2015</v>
      </c>
      <c r="AE153" s="218">
        <v>30</v>
      </c>
      <c r="AF153" s="218"/>
      <c r="AG153" s="218" t="s">
        <v>440</v>
      </c>
      <c r="AH153" s="259">
        <v>0.7</v>
      </c>
      <c r="AI153" s="235"/>
      <c r="AJ153" s="183"/>
    </row>
    <row r="154" spans="1:36" ht="34.5" customHeight="1">
      <c r="A154" s="252" t="s">
        <v>337</v>
      </c>
      <c r="B154" s="260" t="s">
        <v>338</v>
      </c>
      <c r="C154" s="209" t="s">
        <v>324</v>
      </c>
      <c r="D154" s="234"/>
      <c r="E154" s="234"/>
      <c r="F154" s="251"/>
      <c r="G154" s="251"/>
      <c r="H154" s="221"/>
      <c r="I154" s="257"/>
      <c r="J154" s="234"/>
      <c r="K154" s="251"/>
      <c r="L154" s="234"/>
      <c r="M154" s="258"/>
      <c r="N154" s="258"/>
      <c r="O154" s="234"/>
      <c r="P154" s="258"/>
      <c r="Q154" s="108">
        <f>'приложение 1.1'!I154</f>
        <v>0.29</v>
      </c>
      <c r="R154" s="220">
        <f>ROUND(26100/1000000,2)</f>
        <v>0.03</v>
      </c>
      <c r="S154" s="221">
        <f t="shared" si="1"/>
        <v>0.26</v>
      </c>
      <c r="T154" s="220">
        <f>ROUND(3543/1000000,2)</f>
        <v>0</v>
      </c>
      <c r="U154" s="220">
        <f>ROUND(2465/1000000,2)</f>
        <v>0</v>
      </c>
      <c r="V154" s="232"/>
      <c r="W154" s="232"/>
      <c r="X154" s="232"/>
      <c r="Y154" s="232"/>
      <c r="Z154" s="232"/>
      <c r="AA154" s="218"/>
      <c r="AB154" s="218"/>
      <c r="AC154" s="218"/>
      <c r="AD154" s="218">
        <v>2015</v>
      </c>
      <c r="AE154" s="218">
        <v>30</v>
      </c>
      <c r="AF154" s="218"/>
      <c r="AG154" s="218" t="s">
        <v>429</v>
      </c>
      <c r="AH154" s="259">
        <v>0.33</v>
      </c>
      <c r="AI154" s="235"/>
      <c r="AJ154" s="183"/>
    </row>
    <row r="155" spans="1:36" ht="34.5" customHeight="1">
      <c r="A155" s="252" t="s">
        <v>339</v>
      </c>
      <c r="B155" s="261" t="s">
        <v>340</v>
      </c>
      <c r="C155" s="209" t="s">
        <v>324</v>
      </c>
      <c r="D155" s="234"/>
      <c r="E155" s="234"/>
      <c r="F155" s="251"/>
      <c r="G155" s="251"/>
      <c r="H155" s="221"/>
      <c r="I155" s="257"/>
      <c r="J155" s="234"/>
      <c r="K155" s="251"/>
      <c r="L155" s="234"/>
      <c r="M155" s="258"/>
      <c r="N155" s="258"/>
      <c r="O155" s="234"/>
      <c r="P155" s="258"/>
      <c r="Q155" s="108">
        <f>'приложение 1.1'!I155</f>
        <v>0.53</v>
      </c>
      <c r="R155" s="220">
        <f>ROUND(0/1000000,2)</f>
        <v>0</v>
      </c>
      <c r="S155" s="221">
        <f t="shared" si="1"/>
        <v>0.51</v>
      </c>
      <c r="T155" s="220">
        <f>ROUND(19101/1000000,2)</f>
        <v>0.02</v>
      </c>
      <c r="U155" s="220">
        <f>ROUND(481/1000000,2)</f>
        <v>0</v>
      </c>
      <c r="V155" s="232"/>
      <c r="W155" s="232"/>
      <c r="X155" s="232"/>
      <c r="Y155" s="232"/>
      <c r="Z155" s="232"/>
      <c r="AA155" s="218"/>
      <c r="AB155" s="218"/>
      <c r="AC155" s="218"/>
      <c r="AD155" s="218">
        <v>2015</v>
      </c>
      <c r="AE155" s="218">
        <v>30</v>
      </c>
      <c r="AF155" s="218"/>
      <c r="AG155" s="218" t="s">
        <v>441</v>
      </c>
      <c r="AH155" s="259">
        <v>0.49</v>
      </c>
      <c r="AI155" s="235"/>
      <c r="AJ155" s="183"/>
    </row>
    <row r="156" spans="1:36" ht="60.75" customHeight="1">
      <c r="A156" s="252" t="s">
        <v>341</v>
      </c>
      <c r="B156" s="261" t="s">
        <v>342</v>
      </c>
      <c r="C156" s="209" t="s">
        <v>324</v>
      </c>
      <c r="D156" s="234"/>
      <c r="E156" s="234"/>
      <c r="F156" s="251"/>
      <c r="G156" s="251"/>
      <c r="H156" s="221"/>
      <c r="I156" s="257"/>
      <c r="J156" s="234"/>
      <c r="K156" s="251"/>
      <c r="L156" s="234"/>
      <c r="M156" s="258"/>
      <c r="N156" s="258"/>
      <c r="O156" s="234"/>
      <c r="P156" s="258"/>
      <c r="Q156" s="108">
        <f>'приложение 1.1'!I156</f>
        <v>0.85</v>
      </c>
      <c r="R156" s="220">
        <f>ROUND(0/1000000,2)</f>
        <v>0</v>
      </c>
      <c r="S156" s="221">
        <f t="shared" si="1"/>
        <v>0.7999999999999999</v>
      </c>
      <c r="T156" s="220">
        <f>ROUND(51319/1000000,2)</f>
        <v>0.05</v>
      </c>
      <c r="U156" s="220">
        <f>ROUND(0/1000000,2)</f>
        <v>0</v>
      </c>
      <c r="V156" s="232"/>
      <c r="W156" s="232"/>
      <c r="X156" s="232"/>
      <c r="Y156" s="232"/>
      <c r="Z156" s="232"/>
      <c r="AA156" s="218"/>
      <c r="AB156" s="218"/>
      <c r="AC156" s="218"/>
      <c r="AD156" s="218">
        <v>2015</v>
      </c>
      <c r="AE156" s="218">
        <v>30</v>
      </c>
      <c r="AF156" s="218"/>
      <c r="AG156" s="218" t="s">
        <v>442</v>
      </c>
      <c r="AH156" s="259">
        <v>0.24</v>
      </c>
      <c r="AI156" s="235"/>
      <c r="AJ156" s="183"/>
    </row>
    <row r="157" spans="1:36" ht="34.5" customHeight="1">
      <c r="A157" s="252" t="s">
        <v>343</v>
      </c>
      <c r="B157" s="256" t="s">
        <v>344</v>
      </c>
      <c r="C157" s="209" t="s">
        <v>324</v>
      </c>
      <c r="D157" s="234"/>
      <c r="E157" s="234"/>
      <c r="F157" s="251"/>
      <c r="G157" s="251"/>
      <c r="H157" s="221"/>
      <c r="I157" s="257"/>
      <c r="J157" s="234"/>
      <c r="K157" s="251"/>
      <c r="L157" s="234"/>
      <c r="M157" s="258"/>
      <c r="N157" s="258"/>
      <c r="O157" s="234"/>
      <c r="P157" s="258"/>
      <c r="Q157" s="108">
        <f>'приложение 1.1'!I157</f>
        <v>0.24</v>
      </c>
      <c r="R157" s="220">
        <f>ROUND(0/1000000,2)</f>
        <v>0</v>
      </c>
      <c r="S157" s="221">
        <f t="shared" si="1"/>
        <v>0.15</v>
      </c>
      <c r="T157" s="220">
        <f>ROUND(94950/1000000,2)</f>
        <v>0.09</v>
      </c>
      <c r="U157" s="220">
        <f>ROUND(1049/1000000,2)</f>
        <v>0</v>
      </c>
      <c r="V157" s="232"/>
      <c r="W157" s="232"/>
      <c r="X157" s="232"/>
      <c r="Y157" s="232"/>
      <c r="Z157" s="232"/>
      <c r="AA157" s="218"/>
      <c r="AB157" s="218"/>
      <c r="AC157" s="218"/>
      <c r="AD157" s="218">
        <v>2015</v>
      </c>
      <c r="AE157" s="218">
        <v>30</v>
      </c>
      <c r="AF157" s="218"/>
      <c r="AG157" s="218" t="s">
        <v>443</v>
      </c>
      <c r="AH157" s="259">
        <v>0.34</v>
      </c>
      <c r="AI157" s="235"/>
      <c r="AJ157" s="183"/>
    </row>
    <row r="158" spans="1:36" ht="30">
      <c r="A158" s="252" t="s">
        <v>345</v>
      </c>
      <c r="B158" s="262" t="s">
        <v>346</v>
      </c>
      <c r="C158" s="251" t="s">
        <v>324</v>
      </c>
      <c r="D158" s="232"/>
      <c r="E158" s="232"/>
      <c r="F158" s="232"/>
      <c r="G158" s="232"/>
      <c r="H158" s="232"/>
      <c r="I158" s="232"/>
      <c r="J158" s="232"/>
      <c r="K158" s="251"/>
      <c r="L158" s="234"/>
      <c r="M158" s="232"/>
      <c r="N158" s="232"/>
      <c r="O158" s="209"/>
      <c r="P158" s="232"/>
      <c r="Q158" s="108">
        <f>'приложение 1.1'!I158</f>
        <v>0.35</v>
      </c>
      <c r="R158" s="234">
        <v>0</v>
      </c>
      <c r="S158" s="221">
        <f t="shared" si="1"/>
        <v>0.20999999999999996</v>
      </c>
      <c r="T158" s="220">
        <f>ROUND(39551/1000000*3.52,2)</f>
        <v>0.14</v>
      </c>
      <c r="U158" s="220">
        <f>ROUND(3530/1000000,2)</f>
        <v>0</v>
      </c>
      <c r="V158" s="232"/>
      <c r="W158" s="232"/>
      <c r="X158" s="232"/>
      <c r="Y158" s="232"/>
      <c r="Z158" s="232"/>
      <c r="AA158" s="218"/>
      <c r="AB158" s="218"/>
      <c r="AC158" s="218"/>
      <c r="AD158" s="218">
        <v>2015</v>
      </c>
      <c r="AE158" s="218">
        <v>30</v>
      </c>
      <c r="AF158" s="218"/>
      <c r="AG158" s="218" t="s">
        <v>439</v>
      </c>
      <c r="AH158" s="223">
        <v>0.46</v>
      </c>
      <c r="AI158" s="235"/>
      <c r="AJ158" s="183"/>
    </row>
    <row r="159" spans="1:36" ht="30">
      <c r="A159" s="252" t="s">
        <v>347</v>
      </c>
      <c r="B159" s="263" t="s">
        <v>348</v>
      </c>
      <c r="C159" s="251" t="s">
        <v>324</v>
      </c>
      <c r="D159" s="232"/>
      <c r="E159" s="232"/>
      <c r="F159" s="232"/>
      <c r="G159" s="232"/>
      <c r="H159" s="232"/>
      <c r="I159" s="232"/>
      <c r="J159" s="232"/>
      <c r="K159" s="251"/>
      <c r="L159" s="234"/>
      <c r="M159" s="232"/>
      <c r="N159" s="232"/>
      <c r="O159" s="251"/>
      <c r="P159" s="232"/>
      <c r="Q159" s="108">
        <f>'приложение 1.1'!I159</f>
        <v>0.22</v>
      </c>
      <c r="R159" s="234">
        <v>0</v>
      </c>
      <c r="S159" s="221">
        <f t="shared" si="1"/>
        <v>0.13</v>
      </c>
      <c r="T159" s="220">
        <f>ROUND(24864/1000000*3.52,2)</f>
        <v>0.09</v>
      </c>
      <c r="U159" s="220">
        <f>ROUND(3530/1000000,2)</f>
        <v>0</v>
      </c>
      <c r="V159" s="232"/>
      <c r="W159" s="232"/>
      <c r="X159" s="232"/>
      <c r="Y159" s="232"/>
      <c r="Z159" s="232"/>
      <c r="AA159" s="218"/>
      <c r="AB159" s="218"/>
      <c r="AC159" s="218"/>
      <c r="AD159" s="218">
        <v>2015</v>
      </c>
      <c r="AE159" s="218">
        <v>30</v>
      </c>
      <c r="AF159" s="218"/>
      <c r="AG159" s="218" t="s">
        <v>439</v>
      </c>
      <c r="AH159" s="264">
        <v>0.18</v>
      </c>
      <c r="AI159" s="235"/>
      <c r="AJ159" s="183"/>
    </row>
    <row r="160" spans="1:36" ht="30">
      <c r="A160" s="252" t="s">
        <v>349</v>
      </c>
      <c r="B160" s="262" t="s">
        <v>350</v>
      </c>
      <c r="C160" s="251" t="s">
        <v>324</v>
      </c>
      <c r="D160" s="232"/>
      <c r="E160" s="232"/>
      <c r="F160" s="232"/>
      <c r="G160" s="232"/>
      <c r="H160" s="232"/>
      <c r="I160" s="232"/>
      <c r="J160" s="232"/>
      <c r="K160" s="251"/>
      <c r="L160" s="234"/>
      <c r="M160" s="232"/>
      <c r="N160" s="232"/>
      <c r="O160" s="209"/>
      <c r="P160" s="232"/>
      <c r="Q160" s="108">
        <f>'приложение 1.1'!I160</f>
        <v>0.22</v>
      </c>
      <c r="R160" s="234">
        <v>0</v>
      </c>
      <c r="S160" s="221">
        <f t="shared" si="1"/>
        <v>0.16</v>
      </c>
      <c r="T160" s="220">
        <f>ROUND(15638/1000000*3.52,2)</f>
        <v>0.06</v>
      </c>
      <c r="U160" s="220">
        <f>ROUND(3530/1000000,2)</f>
        <v>0</v>
      </c>
      <c r="V160" s="232"/>
      <c r="W160" s="232"/>
      <c r="X160" s="232"/>
      <c r="Y160" s="232"/>
      <c r="Z160" s="232"/>
      <c r="AA160" s="218"/>
      <c r="AB160" s="218"/>
      <c r="AC160" s="218"/>
      <c r="AD160" s="218">
        <v>2015</v>
      </c>
      <c r="AE160" s="218">
        <v>30</v>
      </c>
      <c r="AF160" s="218"/>
      <c r="AG160" s="218" t="s">
        <v>439</v>
      </c>
      <c r="AH160" s="223">
        <v>0.16</v>
      </c>
      <c r="AI160" s="235"/>
      <c r="AJ160" s="183"/>
    </row>
    <row r="161" spans="1:36" ht="30">
      <c r="A161" s="252" t="s">
        <v>351</v>
      </c>
      <c r="B161" s="265" t="s">
        <v>352</v>
      </c>
      <c r="C161" s="251" t="s">
        <v>324</v>
      </c>
      <c r="D161" s="266"/>
      <c r="E161" s="266"/>
      <c r="F161" s="266"/>
      <c r="G161" s="218"/>
      <c r="H161" s="218"/>
      <c r="I161" s="218"/>
      <c r="J161" s="209"/>
      <c r="K161" s="218"/>
      <c r="L161" s="218"/>
      <c r="M161" s="218"/>
      <c r="N161" s="218"/>
      <c r="O161" s="209"/>
      <c r="P161" s="218"/>
      <c r="Q161" s="108">
        <f>'приложение 1.1'!I161</f>
        <v>0.66</v>
      </c>
      <c r="R161" s="234">
        <v>0</v>
      </c>
      <c r="S161" s="221">
        <f t="shared" si="1"/>
        <v>0.44000000000000006</v>
      </c>
      <c r="T161" s="220">
        <f>ROUND(60836/1000000*3.52,2)</f>
        <v>0.21</v>
      </c>
      <c r="U161" s="220">
        <f>ROUND(7077/1000000,2)</f>
        <v>0.01</v>
      </c>
      <c r="V161" s="267"/>
      <c r="W161" s="268"/>
      <c r="X161" s="268"/>
      <c r="Y161" s="268"/>
      <c r="Z161" s="268"/>
      <c r="AA161" s="268"/>
      <c r="AB161" s="268"/>
      <c r="AC161" s="268"/>
      <c r="AD161" s="218">
        <v>2015</v>
      </c>
      <c r="AE161" s="218">
        <v>30</v>
      </c>
      <c r="AF161" s="218"/>
      <c r="AG161" s="218" t="s">
        <v>421</v>
      </c>
      <c r="AH161" s="223">
        <v>1</v>
      </c>
      <c r="AI161" s="269"/>
      <c r="AJ161" s="183"/>
    </row>
    <row r="162" spans="1:36" ht="30">
      <c r="A162" s="252" t="s">
        <v>353</v>
      </c>
      <c r="B162" s="265" t="s">
        <v>354</v>
      </c>
      <c r="C162" s="251" t="s">
        <v>324</v>
      </c>
      <c r="D162" s="266"/>
      <c r="E162" s="266"/>
      <c r="F162" s="266"/>
      <c r="G162" s="218"/>
      <c r="H162" s="218"/>
      <c r="I162" s="218"/>
      <c r="J162" s="209"/>
      <c r="K162" s="218"/>
      <c r="L162" s="218"/>
      <c r="M162" s="218"/>
      <c r="N162" s="218"/>
      <c r="O162" s="209"/>
      <c r="P162" s="218"/>
      <c r="Q162" s="108">
        <f>'приложение 1.1'!I162</f>
        <v>0.28</v>
      </c>
      <c r="R162" s="234">
        <v>0</v>
      </c>
      <c r="S162" s="221">
        <f t="shared" si="1"/>
        <v>0.22000000000000003</v>
      </c>
      <c r="T162" s="220">
        <f>ROUND(17770/1000000*3.52,2)</f>
        <v>0.06</v>
      </c>
      <c r="U162" s="220">
        <f>ROUND(3530/1000000,2)</f>
        <v>0</v>
      </c>
      <c r="V162" s="267"/>
      <c r="W162" s="268"/>
      <c r="X162" s="268"/>
      <c r="Y162" s="268"/>
      <c r="Z162" s="268"/>
      <c r="AA162" s="268"/>
      <c r="AB162" s="268"/>
      <c r="AC162" s="268"/>
      <c r="AD162" s="218">
        <v>2015</v>
      </c>
      <c r="AE162" s="218">
        <v>30</v>
      </c>
      <c r="AF162" s="218"/>
      <c r="AG162" s="218" t="s">
        <v>429</v>
      </c>
      <c r="AH162" s="223">
        <v>0.5</v>
      </c>
      <c r="AI162" s="269"/>
      <c r="AJ162" s="183"/>
    </row>
    <row r="163" spans="1:36" s="100" customFormat="1" ht="15.75">
      <c r="A163" s="270" t="s">
        <v>355</v>
      </c>
      <c r="B163" s="271" t="s">
        <v>356</v>
      </c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6">
        <f>SUM(Q164:Q169)</f>
        <v>14.439999999999998</v>
      </c>
      <c r="R163" s="246">
        <f>SUM(R164:R169)</f>
        <v>1.17</v>
      </c>
      <c r="S163" s="246">
        <f>SUM(S164:S169)</f>
        <v>9.29</v>
      </c>
      <c r="T163" s="246">
        <f>SUM(T164:T169)</f>
        <v>3.94</v>
      </c>
      <c r="U163" s="246">
        <f>SUM(U164:U169)</f>
        <v>0.04</v>
      </c>
      <c r="V163" s="245"/>
      <c r="W163" s="245"/>
      <c r="X163" s="245"/>
      <c r="Y163" s="245"/>
      <c r="Z163" s="244"/>
      <c r="AA163" s="244"/>
      <c r="AB163" s="244"/>
      <c r="AC163" s="244"/>
      <c r="AD163" s="244"/>
      <c r="AE163" s="244"/>
      <c r="AF163" s="244"/>
      <c r="AG163" s="244"/>
      <c r="AH163" s="272">
        <f>SUM(AH164:AH169)</f>
        <v>8.209999999999999</v>
      </c>
      <c r="AI163" s="247"/>
      <c r="AJ163" s="183"/>
    </row>
    <row r="164" spans="1:36" ht="35.25" customHeight="1">
      <c r="A164" s="248" t="s">
        <v>357</v>
      </c>
      <c r="B164" s="260" t="s">
        <v>358</v>
      </c>
      <c r="C164" s="251" t="s">
        <v>324</v>
      </c>
      <c r="D164" s="232"/>
      <c r="E164" s="232"/>
      <c r="F164" s="232"/>
      <c r="G164" s="232"/>
      <c r="H164" s="232"/>
      <c r="I164" s="232"/>
      <c r="J164" s="232"/>
      <c r="K164" s="218"/>
      <c r="L164" s="218"/>
      <c r="M164" s="232"/>
      <c r="N164" s="232"/>
      <c r="O164" s="232"/>
      <c r="P164" s="232"/>
      <c r="Q164" s="108">
        <f>'приложение 1.1'!I164</f>
        <v>3.9</v>
      </c>
      <c r="R164" s="107">
        <f>ROUND(837670.2/1000000,2)</f>
        <v>0.84</v>
      </c>
      <c r="S164" s="108">
        <f aca="true" t="shared" si="2" ref="S164:S169">Q164-R164-T164-U164</f>
        <v>1.9300000000000002</v>
      </c>
      <c r="T164" s="107">
        <f>ROUND(230905/1000000*4.91,2)</f>
        <v>1.13</v>
      </c>
      <c r="U164" s="220">
        <v>0</v>
      </c>
      <c r="V164" s="232"/>
      <c r="W164" s="232"/>
      <c r="X164" s="232"/>
      <c r="Y164" s="232"/>
      <c r="Z164" s="251"/>
      <c r="AA164" s="218"/>
      <c r="AB164" s="218"/>
      <c r="AC164" s="218"/>
      <c r="AD164" s="218">
        <v>2014</v>
      </c>
      <c r="AE164" s="218">
        <v>30</v>
      </c>
      <c r="AF164" s="218" t="s">
        <v>444</v>
      </c>
      <c r="AG164" s="218" t="s">
        <v>445</v>
      </c>
      <c r="AH164" s="251">
        <v>2.05</v>
      </c>
      <c r="AI164" s="235"/>
      <c r="AJ164" s="183"/>
    </row>
    <row r="165" spans="1:36" ht="35.25" customHeight="1">
      <c r="A165" s="248" t="s">
        <v>359</v>
      </c>
      <c r="B165" s="260" t="s">
        <v>360</v>
      </c>
      <c r="C165" s="251" t="s">
        <v>324</v>
      </c>
      <c r="D165" s="232"/>
      <c r="E165" s="232"/>
      <c r="F165" s="232"/>
      <c r="G165" s="232"/>
      <c r="H165" s="232"/>
      <c r="I165" s="232"/>
      <c r="J165" s="232"/>
      <c r="K165" s="218"/>
      <c r="L165" s="218"/>
      <c r="M165" s="232"/>
      <c r="N165" s="232"/>
      <c r="O165" s="232"/>
      <c r="P165" s="232"/>
      <c r="Q165" s="108">
        <f>'приложение 1.1'!I165</f>
        <v>0.62</v>
      </c>
      <c r="R165" s="220">
        <v>0</v>
      </c>
      <c r="S165" s="221">
        <f t="shared" si="2"/>
        <v>0.36</v>
      </c>
      <c r="T165" s="259">
        <v>0.26</v>
      </c>
      <c r="U165" s="220">
        <f>ROUND(983/1000000,2)</f>
        <v>0</v>
      </c>
      <c r="V165" s="232"/>
      <c r="W165" s="232"/>
      <c r="X165" s="232"/>
      <c r="Y165" s="232"/>
      <c r="Z165" s="251"/>
      <c r="AA165" s="218"/>
      <c r="AB165" s="218"/>
      <c r="AC165" s="218"/>
      <c r="AD165" s="218">
        <v>2015</v>
      </c>
      <c r="AE165" s="218">
        <v>30</v>
      </c>
      <c r="AF165" s="218" t="s">
        <v>444</v>
      </c>
      <c r="AG165" s="218" t="s">
        <v>445</v>
      </c>
      <c r="AH165" s="251">
        <v>0.45</v>
      </c>
      <c r="AI165" s="235"/>
      <c r="AJ165" s="183"/>
    </row>
    <row r="166" spans="1:36" ht="35.25" customHeight="1">
      <c r="A166" s="248" t="s">
        <v>361</v>
      </c>
      <c r="B166" s="256" t="s">
        <v>362</v>
      </c>
      <c r="C166" s="251" t="s">
        <v>324</v>
      </c>
      <c r="D166" s="232"/>
      <c r="E166" s="232"/>
      <c r="F166" s="232"/>
      <c r="G166" s="232"/>
      <c r="H166" s="232"/>
      <c r="I166" s="232"/>
      <c r="J166" s="232"/>
      <c r="K166" s="218"/>
      <c r="L166" s="218"/>
      <c r="M166" s="232"/>
      <c r="N166" s="232"/>
      <c r="O166" s="232"/>
      <c r="P166" s="232"/>
      <c r="Q166" s="108">
        <f>'приложение 1.1'!I166</f>
        <v>2.02</v>
      </c>
      <c r="R166" s="220">
        <f>ROUND(85610/1000000,2)</f>
        <v>0.09</v>
      </c>
      <c r="S166" s="221">
        <f t="shared" si="2"/>
        <v>1.1099999999999999</v>
      </c>
      <c r="T166" s="220">
        <f>ROUND(796375.43/1000000,2)</f>
        <v>0.8</v>
      </c>
      <c r="U166" s="220">
        <f>ROUND(23971/1000000,2)</f>
        <v>0.02</v>
      </c>
      <c r="V166" s="232"/>
      <c r="W166" s="232"/>
      <c r="X166" s="232"/>
      <c r="Y166" s="232"/>
      <c r="Z166" s="251"/>
      <c r="AA166" s="218"/>
      <c r="AB166" s="218"/>
      <c r="AC166" s="218"/>
      <c r="AD166" s="218">
        <v>2015</v>
      </c>
      <c r="AE166" s="218">
        <v>30</v>
      </c>
      <c r="AF166" s="218" t="s">
        <v>444</v>
      </c>
      <c r="AG166" s="218" t="s">
        <v>445</v>
      </c>
      <c r="AH166" s="251">
        <v>1.76</v>
      </c>
      <c r="AI166" s="235"/>
      <c r="AJ166" s="183"/>
    </row>
    <row r="167" spans="1:36" ht="35.25" customHeight="1">
      <c r="A167" s="248" t="s">
        <v>363</v>
      </c>
      <c r="B167" s="256" t="s">
        <v>364</v>
      </c>
      <c r="C167" s="251" t="s">
        <v>324</v>
      </c>
      <c r="D167" s="232"/>
      <c r="E167" s="232"/>
      <c r="F167" s="232"/>
      <c r="G167" s="232"/>
      <c r="H167" s="232"/>
      <c r="I167" s="232"/>
      <c r="J167" s="232"/>
      <c r="K167" s="218"/>
      <c r="L167" s="218"/>
      <c r="M167" s="232"/>
      <c r="N167" s="232"/>
      <c r="O167" s="232"/>
      <c r="P167" s="232"/>
      <c r="Q167" s="108">
        <f>'приложение 1.1'!I167</f>
        <v>2.38</v>
      </c>
      <c r="R167" s="220">
        <f>ROUND(240500/1000000,2)</f>
        <v>0.24</v>
      </c>
      <c r="S167" s="221">
        <f t="shared" si="2"/>
        <v>0.9399999999999997</v>
      </c>
      <c r="T167" s="220">
        <f>ROUND(1181237.05/1000000,2)</f>
        <v>1.18</v>
      </c>
      <c r="U167" s="220">
        <f>ROUND(20570/1000000,2)</f>
        <v>0.02</v>
      </c>
      <c r="V167" s="232"/>
      <c r="W167" s="232"/>
      <c r="X167" s="232"/>
      <c r="Y167" s="232"/>
      <c r="Z167" s="251"/>
      <c r="AA167" s="218"/>
      <c r="AB167" s="218"/>
      <c r="AC167" s="218"/>
      <c r="AD167" s="218">
        <v>2015</v>
      </c>
      <c r="AE167" s="218">
        <v>30</v>
      </c>
      <c r="AF167" s="218" t="s">
        <v>444</v>
      </c>
      <c r="AG167" s="218" t="s">
        <v>445</v>
      </c>
      <c r="AH167" s="251">
        <v>1.8</v>
      </c>
      <c r="AI167" s="235"/>
      <c r="AJ167" s="183"/>
    </row>
    <row r="168" spans="1:36" ht="35.25" customHeight="1">
      <c r="A168" s="248" t="s">
        <v>365</v>
      </c>
      <c r="B168" s="256" t="s">
        <v>366</v>
      </c>
      <c r="C168" s="209" t="s">
        <v>324</v>
      </c>
      <c r="D168" s="232"/>
      <c r="E168" s="232"/>
      <c r="F168" s="232"/>
      <c r="G168" s="232"/>
      <c r="H168" s="232"/>
      <c r="I168" s="232"/>
      <c r="J168" s="232"/>
      <c r="K168" s="218"/>
      <c r="L168" s="218"/>
      <c r="M168" s="232"/>
      <c r="N168" s="232"/>
      <c r="O168" s="232"/>
      <c r="P168" s="232"/>
      <c r="Q168" s="108">
        <f>'приложение 1.1'!I168</f>
        <v>3.86</v>
      </c>
      <c r="R168" s="220">
        <f>ROUND(0/1000000,2)</f>
        <v>0</v>
      </c>
      <c r="S168" s="221">
        <f t="shared" si="2"/>
        <v>3.86</v>
      </c>
      <c r="T168" s="220">
        <f>ROUND(0/1000000,2)</f>
        <v>0</v>
      </c>
      <c r="U168" s="220">
        <f>ROUND(2760/1000000,2)</f>
        <v>0</v>
      </c>
      <c r="V168" s="232"/>
      <c r="W168" s="232"/>
      <c r="X168" s="232"/>
      <c r="Y168" s="232"/>
      <c r="Z168" s="251"/>
      <c r="AA168" s="218"/>
      <c r="AB168" s="218"/>
      <c r="AC168" s="218"/>
      <c r="AD168" s="218">
        <v>2015</v>
      </c>
      <c r="AE168" s="218">
        <v>30</v>
      </c>
      <c r="AF168" s="218" t="s">
        <v>444</v>
      </c>
      <c r="AG168" s="218" t="s">
        <v>445</v>
      </c>
      <c r="AH168" s="251">
        <v>1.37</v>
      </c>
      <c r="AI168" s="235"/>
      <c r="AJ168" s="183"/>
    </row>
    <row r="169" spans="1:36" ht="35.25" customHeight="1">
      <c r="A169" s="248" t="s">
        <v>367</v>
      </c>
      <c r="B169" s="112" t="s">
        <v>368</v>
      </c>
      <c r="C169" s="209" t="s">
        <v>324</v>
      </c>
      <c r="D169" s="232"/>
      <c r="E169" s="232"/>
      <c r="F169" s="232"/>
      <c r="G169" s="232"/>
      <c r="H169" s="232"/>
      <c r="I169" s="232"/>
      <c r="J169" s="232"/>
      <c r="K169" s="218"/>
      <c r="L169" s="218"/>
      <c r="M169" s="232"/>
      <c r="N169" s="232"/>
      <c r="O169" s="232"/>
      <c r="P169" s="232"/>
      <c r="Q169" s="108">
        <f>'приложение 1.1'!I169</f>
        <v>1.66</v>
      </c>
      <c r="R169" s="220">
        <f>ROUND(0/1000000,2)</f>
        <v>0</v>
      </c>
      <c r="S169" s="221">
        <f t="shared" si="2"/>
        <v>1.0899999999999999</v>
      </c>
      <c r="T169" s="220">
        <f>ROUND(565310.68/1000000,2)</f>
        <v>0.57</v>
      </c>
      <c r="U169" s="220">
        <f>ROUND(1048/1000000,2)</f>
        <v>0</v>
      </c>
      <c r="V169" s="232"/>
      <c r="W169" s="232"/>
      <c r="X169" s="232"/>
      <c r="Y169" s="232"/>
      <c r="Z169" s="251"/>
      <c r="AA169" s="218"/>
      <c r="AB169" s="218"/>
      <c r="AC169" s="218"/>
      <c r="AD169" s="218">
        <v>2016</v>
      </c>
      <c r="AE169" s="218">
        <v>30</v>
      </c>
      <c r="AF169" s="218" t="s">
        <v>444</v>
      </c>
      <c r="AG169" s="218" t="s">
        <v>445</v>
      </c>
      <c r="AH169" s="251">
        <v>0.78</v>
      </c>
      <c r="AI169" s="235"/>
      <c r="AJ169" s="183"/>
    </row>
    <row r="170" spans="1:35" ht="15.75">
      <c r="A170" s="270" t="s">
        <v>370</v>
      </c>
      <c r="B170" s="271" t="s">
        <v>371</v>
      </c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46">
        <f>SUM(Q171:Q171)</f>
        <v>2.714</v>
      </c>
      <c r="R170" s="246">
        <f>SUM(R171:R171)</f>
        <v>0</v>
      </c>
      <c r="S170" s="246">
        <f>SUM(S171:S171)</f>
        <v>0.894</v>
      </c>
      <c r="T170" s="246">
        <f>SUM(T171:T171)</f>
        <v>1.68</v>
      </c>
      <c r="U170" s="246">
        <f>SUM(U171:U171)</f>
        <v>0.14</v>
      </c>
      <c r="V170" s="226"/>
      <c r="W170" s="226"/>
      <c r="X170" s="226"/>
      <c r="Y170" s="226"/>
      <c r="Z170" s="228"/>
      <c r="AA170" s="228"/>
      <c r="AB170" s="228"/>
      <c r="AC170" s="228">
        <f>SUM(AC171)</f>
        <v>2</v>
      </c>
      <c r="AD170" s="228"/>
      <c r="AE170" s="228"/>
      <c r="AF170" s="228"/>
      <c r="AG170" s="228"/>
      <c r="AH170" s="228"/>
      <c r="AI170" s="229"/>
    </row>
    <row r="171" spans="1:35" s="4" customFormat="1" ht="15.75">
      <c r="A171" s="273" t="s">
        <v>372</v>
      </c>
      <c r="B171" s="274" t="s">
        <v>373</v>
      </c>
      <c r="C171" s="251" t="s">
        <v>324</v>
      </c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108">
        <f>'приложение 1.1'!I171</f>
        <v>2.714</v>
      </c>
      <c r="R171" s="208">
        <v>0</v>
      </c>
      <c r="S171" s="212">
        <f>Q171-R171-T171-U171</f>
        <v>0.894</v>
      </c>
      <c r="T171" s="208">
        <f>ROUND(363385/1000000*4.62,2)</f>
        <v>1.68</v>
      </c>
      <c r="U171" s="208">
        <f>ROUND(143557/1000000,2)</f>
        <v>0.14</v>
      </c>
      <c r="V171" s="275"/>
      <c r="W171" s="275"/>
      <c r="X171" s="275"/>
      <c r="Y171" s="275"/>
      <c r="Z171" s="276">
        <v>2015</v>
      </c>
      <c r="AA171" s="276">
        <v>25</v>
      </c>
      <c r="AB171" s="276">
        <v>2</v>
      </c>
      <c r="AC171" s="276">
        <v>2</v>
      </c>
      <c r="AD171" s="208"/>
      <c r="AE171" s="208"/>
      <c r="AF171" s="208"/>
      <c r="AG171" s="208"/>
      <c r="AH171" s="208"/>
      <c r="AI171" s="277"/>
    </row>
    <row r="172" spans="1:35" s="4" customFormat="1" ht="15.75">
      <c r="A172" s="270" t="s">
        <v>374</v>
      </c>
      <c r="B172" s="119" t="s">
        <v>375</v>
      </c>
      <c r="C172" s="278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46">
        <f>1.38+1.65</f>
        <v>3.03</v>
      </c>
      <c r="R172" s="246">
        <v>0</v>
      </c>
      <c r="S172" s="246">
        <f>Q172-T172</f>
        <v>1.5299999999999998</v>
      </c>
      <c r="T172" s="246">
        <f>0.65+0.85</f>
        <v>1.5</v>
      </c>
      <c r="U172" s="246">
        <v>0</v>
      </c>
      <c r="V172" s="226"/>
      <c r="W172" s="226"/>
      <c r="X172" s="226"/>
      <c r="Y172" s="226"/>
      <c r="Z172" s="279"/>
      <c r="AA172" s="279"/>
      <c r="AB172" s="279"/>
      <c r="AC172" s="279"/>
      <c r="AD172" s="228">
        <v>2015</v>
      </c>
      <c r="AE172" s="228">
        <v>30</v>
      </c>
      <c r="AF172" s="228"/>
      <c r="AG172" s="228"/>
      <c r="AH172" s="228"/>
      <c r="AI172" s="229"/>
    </row>
    <row r="173" spans="1:35" s="25" customFormat="1" ht="15.75">
      <c r="A173" s="280" t="s">
        <v>376</v>
      </c>
      <c r="B173" s="281" t="s">
        <v>377</v>
      </c>
      <c r="C173" s="282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108">
        <f>'приложение 1.1'!I173</f>
        <v>28.23</v>
      </c>
      <c r="R173" s="239">
        <v>1.2</v>
      </c>
      <c r="S173" s="239">
        <f>Q173-R173-T173-U173</f>
        <v>5.210000000000001</v>
      </c>
      <c r="T173" s="239">
        <v>21.82</v>
      </c>
      <c r="U173" s="239">
        <v>0</v>
      </c>
      <c r="V173" s="253"/>
      <c r="W173" s="253"/>
      <c r="X173" s="253"/>
      <c r="Y173" s="253"/>
      <c r="Z173" s="283"/>
      <c r="AA173" s="283"/>
      <c r="AB173" s="283"/>
      <c r="AC173" s="283"/>
      <c r="AD173" s="254"/>
      <c r="AE173" s="254"/>
      <c r="AF173" s="254"/>
      <c r="AG173" s="254"/>
      <c r="AH173" s="254"/>
      <c r="AI173" s="255"/>
    </row>
    <row r="174" spans="1:35" ht="12.75" customHeight="1">
      <c r="A174" s="668" t="s">
        <v>381</v>
      </c>
      <c r="B174" s="668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50"/>
      <c r="R174" s="250"/>
      <c r="S174" s="250"/>
      <c r="T174" s="250"/>
      <c r="U174" s="250"/>
      <c r="V174" s="232"/>
      <c r="W174" s="232"/>
      <c r="X174" s="232"/>
      <c r="Y174" s="232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35"/>
    </row>
    <row r="175" spans="1:35" ht="28.5">
      <c r="A175" s="284"/>
      <c r="B175" s="172" t="s">
        <v>382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50"/>
      <c r="R175" s="250"/>
      <c r="S175" s="250"/>
      <c r="T175" s="250"/>
      <c r="U175" s="250"/>
      <c r="V175" s="232"/>
      <c r="W175" s="232"/>
      <c r="X175" s="232"/>
      <c r="Y175" s="232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35"/>
    </row>
    <row r="176" spans="1:35" ht="15.75">
      <c r="A176" s="285" t="s">
        <v>383</v>
      </c>
      <c r="B176" s="178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7"/>
      <c r="R176" s="287"/>
      <c r="S176" s="287"/>
      <c r="T176" s="287"/>
      <c r="U176" s="287"/>
      <c r="V176" s="286"/>
      <c r="W176" s="286"/>
      <c r="X176" s="286"/>
      <c r="Y176" s="286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5"/>
    </row>
    <row r="177" spans="1:35" ht="15.75">
      <c r="A177" s="288"/>
      <c r="B177" s="289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1"/>
      <c r="R177" s="291"/>
      <c r="S177" s="292"/>
      <c r="T177" s="292"/>
      <c r="U177" s="292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</row>
    <row r="178" spans="1:35" ht="15.75">
      <c r="A178" s="293"/>
      <c r="B178" s="290" t="s">
        <v>384</v>
      </c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1"/>
      <c r="R178" s="291"/>
      <c r="S178" s="292"/>
      <c r="T178" s="292"/>
      <c r="U178" s="292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</row>
    <row r="179" spans="1:35" ht="15.75">
      <c r="A179" s="294"/>
      <c r="B179" s="290" t="s">
        <v>446</v>
      </c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1"/>
      <c r="R179" s="291"/>
      <c r="S179" s="292"/>
      <c r="T179" s="292"/>
      <c r="U179" s="292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</row>
    <row r="180" spans="1:35" ht="15.75">
      <c r="A180" s="294"/>
      <c r="B180" s="295" t="s">
        <v>447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1"/>
      <c r="R180" s="291"/>
      <c r="S180" s="292"/>
      <c r="T180" s="292"/>
      <c r="U180" s="292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</row>
    <row r="181" spans="2:4" ht="18" customHeight="1">
      <c r="B181" s="669" t="s">
        <v>387</v>
      </c>
      <c r="C181" s="669"/>
      <c r="D181" s="669"/>
    </row>
  </sheetData>
  <sheetProtection selectLockedCells="1" selectUnlockedCells="1"/>
  <mergeCells count="21">
    <mergeCell ref="AF3:AI3"/>
    <mergeCell ref="A6:AI6"/>
    <mergeCell ref="A7:AI7"/>
    <mergeCell ref="AG12:AI12"/>
    <mergeCell ref="AF13:AI13"/>
    <mergeCell ref="AG14:AI14"/>
    <mergeCell ref="A16:A18"/>
    <mergeCell ref="B16:B17"/>
    <mergeCell ref="C16:P16"/>
    <mergeCell ref="Q16:U17"/>
    <mergeCell ref="V16:AI16"/>
    <mergeCell ref="C17:F17"/>
    <mergeCell ref="G17:J17"/>
    <mergeCell ref="K17:O17"/>
    <mergeCell ref="AI17:AI18"/>
    <mergeCell ref="A174:B174"/>
    <mergeCell ref="B181:D181"/>
    <mergeCell ref="P17:P18"/>
    <mergeCell ref="V17:Y17"/>
    <mergeCell ref="Z17:AC17"/>
    <mergeCell ref="AD17:AH17"/>
  </mergeCells>
  <printOptions/>
  <pageMargins left="0.7875" right="0.39375" top="0.39375" bottom="0.39375" header="0.5118055555555555" footer="0.5118055555555555"/>
  <pageSetup horizontalDpi="300" verticalDpi="3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R206"/>
  <sheetViews>
    <sheetView view="pageBreakPreview" zoomScale="75" zoomScaleNormal="66" zoomScaleSheetLayoutView="75" workbookViewId="0" topLeftCell="A1">
      <pane ySplit="23" topLeftCell="BM24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7.375" style="296" customWidth="1"/>
    <col min="2" max="2" width="29.50390625" style="297" customWidth="1"/>
    <col min="3" max="4" width="7.25390625" style="297" customWidth="1"/>
    <col min="5" max="5" width="7.25390625" style="298" customWidth="1"/>
    <col min="6" max="6" width="6.875" style="298" customWidth="1"/>
    <col min="7" max="7" width="7.50390625" style="298" customWidth="1"/>
    <col min="8" max="8" width="7.125" style="298" customWidth="1"/>
    <col min="9" max="9" width="7.75390625" style="297" customWidth="1"/>
    <col min="10" max="10" width="7.50390625" style="297" customWidth="1"/>
    <col min="11" max="12" width="6.75390625" style="297" customWidth="1"/>
    <col min="13" max="14" width="6.75390625" style="298" customWidth="1"/>
    <col min="15" max="18" width="6.75390625" style="297" customWidth="1"/>
    <col min="19" max="19" width="13.00390625" style="2" customWidth="1"/>
    <col min="20" max="21" width="6.625" style="4" customWidth="1"/>
    <col min="22" max="22" width="6.375" style="4" customWidth="1"/>
    <col min="23" max="23" width="6.125" style="2" customWidth="1"/>
    <col min="24" max="24" width="6.375" style="4" customWidth="1"/>
    <col min="25" max="25" width="6.375" style="166" customWidth="1"/>
    <col min="26" max="26" width="6.875" style="11" customWidth="1"/>
    <col min="27" max="27" width="6.625" style="2" customWidth="1"/>
    <col min="28" max="28" width="7.25390625" style="2" customWidth="1"/>
    <col min="29" max="29" width="7.125" style="2" customWidth="1"/>
    <col min="30" max="30" width="7.375" style="2" customWidth="1"/>
    <col min="31" max="31" width="6.75390625" style="2" customWidth="1"/>
    <col min="32" max="32" width="7.25390625" style="2" customWidth="1"/>
    <col min="33" max="33" width="6.75390625" style="2" customWidth="1"/>
    <col min="34" max="34" width="8.125" style="2" customWidth="1"/>
    <col min="35" max="35" width="7.75390625" style="2" customWidth="1"/>
    <col min="36" max="38" width="5.625" style="2" customWidth="1"/>
    <col min="39" max="39" width="6.375" style="2" customWidth="1"/>
    <col min="40" max="40" width="5.875" style="2" customWidth="1"/>
    <col min="41" max="41" width="5.625" style="297" customWidth="1"/>
    <col min="42" max="42" width="5.875" style="297" customWidth="1"/>
    <col min="43" max="43" width="6.625" style="183" customWidth="1"/>
    <col min="44" max="16384" width="9.00390625" style="147" customWidth="1"/>
  </cols>
  <sheetData>
    <row r="1" spans="1:43" ht="15.75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297"/>
      <c r="AK1" s="297"/>
      <c r="AL1" s="297"/>
      <c r="AM1" s="297"/>
      <c r="AN1" s="297"/>
      <c r="AQ1" s="301" t="s">
        <v>448</v>
      </c>
    </row>
    <row r="2" spans="1:43" ht="15.75" customHeigh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646" t="s">
        <v>39</v>
      </c>
      <c r="AK2" s="646"/>
      <c r="AL2" s="646"/>
      <c r="AM2" s="646"/>
      <c r="AN2" s="646"/>
      <c r="AO2" s="646"/>
      <c r="AP2" s="646"/>
      <c r="AQ2" s="646"/>
    </row>
    <row r="3" spans="1:43" ht="12.75" customHeight="1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9"/>
      <c r="AK3" s="9"/>
      <c r="AL3" s="9"/>
      <c r="AM3" s="9"/>
      <c r="AN3" s="302"/>
      <c r="AO3" s="302"/>
      <c r="AP3" s="302"/>
      <c r="AQ3" s="302" t="s">
        <v>40</v>
      </c>
    </row>
    <row r="4" spans="1:43" ht="15.7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0"/>
      <c r="AI4" s="300"/>
      <c r="AJ4" s="9"/>
      <c r="AK4" s="9"/>
      <c r="AL4" s="9"/>
      <c r="AM4" s="9"/>
      <c r="AN4" s="302"/>
      <c r="AO4" s="302"/>
      <c r="AP4" s="302"/>
      <c r="AQ4" s="302" t="s">
        <v>41</v>
      </c>
    </row>
    <row r="5" spans="1:43" ht="15.7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297"/>
      <c r="AI5" s="297"/>
      <c r="AJ5" s="297"/>
      <c r="AK5" s="297"/>
      <c r="AL5" s="297"/>
      <c r="AM5" s="297"/>
      <c r="AN5" s="297"/>
      <c r="AQ5" s="304"/>
    </row>
    <row r="6" spans="1:43" ht="15.75">
      <c r="A6" s="647" t="s">
        <v>449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647"/>
      <c r="AP6" s="647"/>
      <c r="AQ6" s="647"/>
    </row>
    <row r="7" spans="1:43" ht="15.75">
      <c r="A7" s="647" t="s">
        <v>450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</row>
    <row r="8" spans="1:43" ht="15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297"/>
      <c r="AL8" s="297"/>
      <c r="AM8" s="297"/>
      <c r="AN8" s="297"/>
      <c r="AQ8" s="304"/>
    </row>
    <row r="9" spans="1:43" ht="15.75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297"/>
      <c r="AL9" s="658" t="s">
        <v>43</v>
      </c>
      <c r="AM9" s="658"/>
      <c r="AN9" s="658"/>
      <c r="AO9" s="658"/>
      <c r="AP9" s="658"/>
      <c r="AQ9" s="658"/>
    </row>
    <row r="10" spans="1:43" ht="15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297"/>
      <c r="AL10" s="305"/>
      <c r="AM10" s="305"/>
      <c r="AN10" s="305"/>
      <c r="AO10" s="305"/>
      <c r="AP10" s="305"/>
      <c r="AQ10" s="306" t="s">
        <v>44</v>
      </c>
    </row>
    <row r="11" spans="1:43" ht="15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297"/>
      <c r="AL11" s="658" t="s">
        <v>45</v>
      </c>
      <c r="AM11" s="658"/>
      <c r="AN11" s="658"/>
      <c r="AO11" s="658"/>
      <c r="AP11" s="658"/>
      <c r="AQ11" s="658"/>
    </row>
    <row r="12" spans="1:43" ht="15.7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297"/>
      <c r="AL12" s="644" t="s">
        <v>451</v>
      </c>
      <c r="AM12" s="644"/>
      <c r="AN12" s="644"/>
      <c r="AO12" s="644"/>
      <c r="AP12" s="644"/>
      <c r="AQ12" s="644"/>
    </row>
    <row r="13" spans="1:43" ht="15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297"/>
      <c r="AL13" s="300"/>
      <c r="AM13" s="305"/>
      <c r="AN13" s="645"/>
      <c r="AO13" s="645"/>
      <c r="AP13" s="645"/>
      <c r="AQ13" s="645"/>
    </row>
    <row r="14" spans="1:43" ht="15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97"/>
      <c r="AL14" s="300"/>
      <c r="AM14" s="300"/>
      <c r="AN14" s="300"/>
      <c r="AO14" s="300"/>
      <c r="AP14" s="300"/>
      <c r="AQ14" s="301" t="s">
        <v>47</v>
      </c>
    </row>
    <row r="15" spans="1:43" ht="15.75">
      <c r="A15" s="299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297"/>
      <c r="AI15" s="297"/>
      <c r="AJ15" s="297"/>
      <c r="AK15" s="297"/>
      <c r="AL15" s="297"/>
      <c r="AM15" s="297"/>
      <c r="AN15" s="297"/>
      <c r="AQ15" s="308"/>
    </row>
    <row r="16" spans="1:43" s="289" customFormat="1" ht="23.25" customHeight="1">
      <c r="A16" s="654" t="s">
        <v>48</v>
      </c>
      <c r="B16" s="654" t="s">
        <v>452</v>
      </c>
      <c r="C16" s="654" t="s">
        <v>58</v>
      </c>
      <c r="D16" s="654"/>
      <c r="E16" s="654"/>
      <c r="F16" s="654"/>
      <c r="G16" s="654"/>
      <c r="H16" s="654"/>
      <c r="I16" s="654"/>
      <c r="J16" s="654"/>
      <c r="K16" s="654" t="s">
        <v>453</v>
      </c>
      <c r="L16" s="654"/>
      <c r="M16" s="654"/>
      <c r="N16" s="654"/>
      <c r="O16" s="654"/>
      <c r="P16" s="654"/>
      <c r="Q16" s="654"/>
      <c r="R16" s="654"/>
      <c r="S16" s="654" t="s">
        <v>454</v>
      </c>
      <c r="T16" s="656" t="s">
        <v>455</v>
      </c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</row>
    <row r="17" spans="1:43" s="289" customFormat="1" ht="16.5" customHeight="1">
      <c r="A17" s="654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6" t="s">
        <v>456</v>
      </c>
      <c r="U17" s="656"/>
      <c r="V17" s="656"/>
      <c r="W17" s="656"/>
      <c r="X17" s="656"/>
      <c r="Y17" s="656"/>
      <c r="Z17" s="656"/>
      <c r="AA17" s="656"/>
      <c r="AB17" s="656"/>
      <c r="AC17" s="656"/>
      <c r="AD17" s="656" t="s">
        <v>457</v>
      </c>
      <c r="AE17" s="656"/>
      <c r="AF17" s="654" t="s">
        <v>458</v>
      </c>
      <c r="AG17" s="654"/>
      <c r="AH17" s="654" t="s">
        <v>63</v>
      </c>
      <c r="AI17" s="654"/>
      <c r="AJ17" s="654" t="s">
        <v>456</v>
      </c>
      <c r="AK17" s="654"/>
      <c r="AL17" s="654"/>
      <c r="AM17" s="654"/>
      <c r="AN17" s="654"/>
      <c r="AO17" s="654" t="s">
        <v>457</v>
      </c>
      <c r="AP17" s="654" t="s">
        <v>458</v>
      </c>
      <c r="AQ17" s="657" t="s">
        <v>63</v>
      </c>
    </row>
    <row r="18" spans="1:43" s="289" customFormat="1" ht="68.25" customHeight="1">
      <c r="A18" s="654"/>
      <c r="B18" s="654"/>
      <c r="C18" s="654" t="s">
        <v>60</v>
      </c>
      <c r="D18" s="654"/>
      <c r="E18" s="656" t="s">
        <v>61</v>
      </c>
      <c r="F18" s="656"/>
      <c r="G18" s="656" t="s">
        <v>62</v>
      </c>
      <c r="H18" s="656"/>
      <c r="I18" s="654" t="s">
        <v>63</v>
      </c>
      <c r="J18" s="654"/>
      <c r="K18" s="654" t="s">
        <v>60</v>
      </c>
      <c r="L18" s="654"/>
      <c r="M18" s="656" t="s">
        <v>61</v>
      </c>
      <c r="N18" s="656"/>
      <c r="O18" s="655" t="s">
        <v>62</v>
      </c>
      <c r="P18" s="655"/>
      <c r="Q18" s="655" t="s">
        <v>63</v>
      </c>
      <c r="R18" s="655"/>
      <c r="S18" s="654"/>
      <c r="T18" s="656" t="s">
        <v>459</v>
      </c>
      <c r="U18" s="656"/>
      <c r="V18" s="656" t="s">
        <v>460</v>
      </c>
      <c r="W18" s="656"/>
      <c r="X18" s="656" t="s">
        <v>461</v>
      </c>
      <c r="Y18" s="656"/>
      <c r="Z18" s="654" t="s">
        <v>462</v>
      </c>
      <c r="AA18" s="654"/>
      <c r="AB18" s="654" t="s">
        <v>63</v>
      </c>
      <c r="AC18" s="654"/>
      <c r="AD18" s="656"/>
      <c r="AE18" s="656"/>
      <c r="AF18" s="654"/>
      <c r="AG18" s="654"/>
      <c r="AH18" s="654"/>
      <c r="AI18" s="654"/>
      <c r="AJ18" s="309" t="s">
        <v>459</v>
      </c>
      <c r="AK18" s="309" t="s">
        <v>460</v>
      </c>
      <c r="AL18" s="309" t="s">
        <v>461</v>
      </c>
      <c r="AM18" s="309" t="s">
        <v>462</v>
      </c>
      <c r="AN18" s="309" t="s">
        <v>63</v>
      </c>
      <c r="AO18" s="654"/>
      <c r="AP18" s="654"/>
      <c r="AQ18" s="657"/>
    </row>
    <row r="19" spans="1:43" s="289" customFormat="1" ht="27" customHeight="1">
      <c r="A19" s="654"/>
      <c r="B19" s="654"/>
      <c r="C19" s="309" t="s">
        <v>68</v>
      </c>
      <c r="D19" s="309" t="s">
        <v>69</v>
      </c>
      <c r="E19" s="310" t="s">
        <v>68</v>
      </c>
      <c r="F19" s="310" t="s">
        <v>69</v>
      </c>
      <c r="G19" s="310" t="s">
        <v>68</v>
      </c>
      <c r="H19" s="310" t="s">
        <v>69</v>
      </c>
      <c r="I19" s="309" t="s">
        <v>68</v>
      </c>
      <c r="J19" s="309" t="s">
        <v>69</v>
      </c>
      <c r="K19" s="309" t="s">
        <v>68</v>
      </c>
      <c r="L19" s="309" t="s">
        <v>69</v>
      </c>
      <c r="M19" s="310" t="s">
        <v>68</v>
      </c>
      <c r="N19" s="310" t="s">
        <v>69</v>
      </c>
      <c r="O19" s="309" t="s">
        <v>68</v>
      </c>
      <c r="P19" s="309" t="s">
        <v>69</v>
      </c>
      <c r="Q19" s="309" t="s">
        <v>68</v>
      </c>
      <c r="R19" s="309" t="s">
        <v>69</v>
      </c>
      <c r="S19" s="309" t="s">
        <v>70</v>
      </c>
      <c r="T19" s="310" t="s">
        <v>68</v>
      </c>
      <c r="U19" s="310" t="s">
        <v>69</v>
      </c>
      <c r="V19" s="309" t="s">
        <v>68</v>
      </c>
      <c r="W19" s="309" t="s">
        <v>69</v>
      </c>
      <c r="X19" s="310" t="s">
        <v>68</v>
      </c>
      <c r="Y19" s="310" t="s">
        <v>69</v>
      </c>
      <c r="Z19" s="309" t="s">
        <v>68</v>
      </c>
      <c r="AA19" s="309" t="s">
        <v>69</v>
      </c>
      <c r="AB19" s="309" t="s">
        <v>68</v>
      </c>
      <c r="AC19" s="309" t="s">
        <v>69</v>
      </c>
      <c r="AD19" s="309" t="s">
        <v>68</v>
      </c>
      <c r="AE19" s="309" t="s">
        <v>69</v>
      </c>
      <c r="AF19" s="309" t="s">
        <v>68</v>
      </c>
      <c r="AG19" s="309" t="s">
        <v>69</v>
      </c>
      <c r="AH19" s="309" t="s">
        <v>68</v>
      </c>
      <c r="AI19" s="309" t="s">
        <v>69</v>
      </c>
      <c r="AJ19" s="654" t="s">
        <v>70</v>
      </c>
      <c r="AK19" s="654"/>
      <c r="AL19" s="654"/>
      <c r="AM19" s="654"/>
      <c r="AN19" s="654"/>
      <c r="AO19" s="654"/>
      <c r="AP19" s="654"/>
      <c r="AQ19" s="654"/>
    </row>
    <row r="20" spans="1:43" s="289" customFormat="1" ht="15">
      <c r="A20" s="311">
        <v>1</v>
      </c>
      <c r="B20" s="312">
        <v>2</v>
      </c>
      <c r="C20" s="312">
        <v>3</v>
      </c>
      <c r="D20" s="312">
        <v>4</v>
      </c>
      <c r="E20" s="313">
        <v>5</v>
      </c>
      <c r="F20" s="313">
        <v>6</v>
      </c>
      <c r="G20" s="313">
        <v>7</v>
      </c>
      <c r="H20" s="313">
        <v>8</v>
      </c>
      <c r="I20" s="312">
        <v>9</v>
      </c>
      <c r="J20" s="312">
        <v>10</v>
      </c>
      <c r="K20" s="312">
        <v>11</v>
      </c>
      <c r="L20" s="312">
        <v>12</v>
      </c>
      <c r="M20" s="313">
        <v>13</v>
      </c>
      <c r="N20" s="313">
        <v>14</v>
      </c>
      <c r="O20" s="312">
        <v>15</v>
      </c>
      <c r="P20" s="312">
        <v>16</v>
      </c>
      <c r="Q20" s="312">
        <v>17</v>
      </c>
      <c r="R20" s="312">
        <v>18</v>
      </c>
      <c r="S20" s="312">
        <v>19</v>
      </c>
      <c r="T20" s="313">
        <f>1+S20</f>
        <v>20</v>
      </c>
      <c r="U20" s="313">
        <v>21</v>
      </c>
      <c r="V20" s="312">
        <v>22</v>
      </c>
      <c r="W20" s="312">
        <v>23</v>
      </c>
      <c r="X20" s="313">
        <v>24</v>
      </c>
      <c r="Y20" s="313">
        <v>25</v>
      </c>
      <c r="Z20" s="312">
        <v>26</v>
      </c>
      <c r="AA20" s="312">
        <v>27</v>
      </c>
      <c r="AB20" s="312">
        <v>28</v>
      </c>
      <c r="AC20" s="312">
        <v>29</v>
      </c>
      <c r="AD20" s="312">
        <v>30</v>
      </c>
      <c r="AE20" s="312">
        <v>31</v>
      </c>
      <c r="AF20" s="312">
        <v>32</v>
      </c>
      <c r="AG20" s="312">
        <v>33</v>
      </c>
      <c r="AH20" s="312">
        <v>34</v>
      </c>
      <c r="AI20" s="312">
        <v>35</v>
      </c>
      <c r="AJ20" s="312">
        <v>36</v>
      </c>
      <c r="AK20" s="312">
        <f aca="true" t="shared" si="0" ref="AK20:AP20">1+AJ20</f>
        <v>37</v>
      </c>
      <c r="AL20" s="312">
        <f t="shared" si="0"/>
        <v>38</v>
      </c>
      <c r="AM20" s="312">
        <f t="shared" si="0"/>
        <v>39</v>
      </c>
      <c r="AN20" s="312">
        <f t="shared" si="0"/>
        <v>40</v>
      </c>
      <c r="AO20" s="312">
        <f t="shared" si="0"/>
        <v>41</v>
      </c>
      <c r="AP20" s="312">
        <f t="shared" si="0"/>
        <v>42</v>
      </c>
      <c r="AQ20" s="314">
        <v>43</v>
      </c>
    </row>
    <row r="21" spans="1:44" s="289" customFormat="1" ht="15">
      <c r="A21" s="315"/>
      <c r="B21" s="316" t="s">
        <v>71</v>
      </c>
      <c r="C21" s="317">
        <f aca="true" t="shared" si="1" ref="C21:AM21">C22+C148+C176</f>
        <v>56.55</v>
      </c>
      <c r="D21" s="317">
        <f t="shared" si="1"/>
        <v>87.88000000000001</v>
      </c>
      <c r="E21" s="318">
        <f t="shared" si="1"/>
        <v>145.61999999999998</v>
      </c>
      <c r="F21" s="317">
        <f t="shared" si="1"/>
        <v>61.00999999999999</v>
      </c>
      <c r="G21" s="317">
        <f t="shared" si="1"/>
        <v>62.93</v>
      </c>
      <c r="H21" s="317">
        <f t="shared" si="1"/>
        <v>1.71</v>
      </c>
      <c r="I21" s="317">
        <f t="shared" si="1"/>
        <v>265.1</v>
      </c>
      <c r="J21" s="317">
        <f t="shared" si="1"/>
        <v>150.60000000000002</v>
      </c>
      <c r="K21" s="317">
        <f t="shared" si="1"/>
        <v>57.49</v>
      </c>
      <c r="L21" s="317">
        <f t="shared" si="1"/>
        <v>84.82000000000001</v>
      </c>
      <c r="M21" s="317">
        <f t="shared" si="1"/>
        <v>132.94</v>
      </c>
      <c r="N21" s="317">
        <f t="shared" si="1"/>
        <v>51.67999999999999</v>
      </c>
      <c r="O21" s="317">
        <f t="shared" si="1"/>
        <v>62.489999999999995</v>
      </c>
      <c r="P21" s="317">
        <f t="shared" si="1"/>
        <v>0.48000000000000004</v>
      </c>
      <c r="Q21" s="317">
        <f t="shared" si="1"/>
        <v>252.92000000000004</v>
      </c>
      <c r="R21" s="317">
        <f t="shared" si="1"/>
        <v>136.98000000000002</v>
      </c>
      <c r="S21" s="317">
        <f t="shared" si="1"/>
        <v>298.10750847457615</v>
      </c>
      <c r="T21" s="317">
        <f t="shared" si="1"/>
        <v>32.26</v>
      </c>
      <c r="U21" s="317">
        <f t="shared" si="1"/>
        <v>0</v>
      </c>
      <c r="V21" s="317">
        <f t="shared" si="1"/>
        <v>7.69</v>
      </c>
      <c r="W21" s="317">
        <f t="shared" si="1"/>
        <v>3.4299999999999997</v>
      </c>
      <c r="X21" s="317">
        <f t="shared" si="1"/>
        <v>2</v>
      </c>
      <c r="Y21" s="317">
        <f t="shared" si="1"/>
        <v>84.45</v>
      </c>
      <c r="Z21" s="317">
        <f t="shared" si="1"/>
        <v>14.6</v>
      </c>
      <c r="AA21" s="317">
        <f t="shared" si="1"/>
        <v>0</v>
      </c>
      <c r="AB21" s="317">
        <f t="shared" si="1"/>
        <v>56.55</v>
      </c>
      <c r="AC21" s="317">
        <f t="shared" si="1"/>
        <v>87.88000000000001</v>
      </c>
      <c r="AD21" s="318">
        <f t="shared" si="1"/>
        <v>145.61999999999998</v>
      </c>
      <c r="AE21" s="317">
        <f t="shared" si="1"/>
        <v>61.00999999999999</v>
      </c>
      <c r="AF21" s="317">
        <f t="shared" si="1"/>
        <v>62.93</v>
      </c>
      <c r="AG21" s="317">
        <f t="shared" si="1"/>
        <v>1.71</v>
      </c>
      <c r="AH21" s="317">
        <f t="shared" si="1"/>
        <v>265.1</v>
      </c>
      <c r="AI21" s="317">
        <f t="shared" si="1"/>
        <v>150.60000000000002</v>
      </c>
      <c r="AJ21" s="317">
        <f t="shared" si="1"/>
        <v>18.990000000000002</v>
      </c>
      <c r="AK21" s="317">
        <f t="shared" si="1"/>
        <v>15.86</v>
      </c>
      <c r="AL21" s="317">
        <f t="shared" si="1"/>
        <v>17.080000000000002</v>
      </c>
      <c r="AM21" s="317">
        <f t="shared" si="1"/>
        <v>18.709999999999997</v>
      </c>
      <c r="AN21" s="317">
        <f>AN22+AN148</f>
        <v>70.64000000000001</v>
      </c>
      <c r="AO21" s="317">
        <f>AO22+AO148+AO176</f>
        <v>172.63119999999998</v>
      </c>
      <c r="AP21" s="317">
        <f>AP22+AP148+AP176</f>
        <v>108.26312000000001</v>
      </c>
      <c r="AQ21" s="319">
        <f>AQ22+AQ148+AQ176</f>
        <v>351.53032</v>
      </c>
      <c r="AR21" s="320"/>
    </row>
    <row r="22" spans="1:44" s="289" customFormat="1" ht="29.25" customHeight="1">
      <c r="A22" s="321" t="s">
        <v>72</v>
      </c>
      <c r="B22" s="322" t="s">
        <v>73</v>
      </c>
      <c r="C22" s="323">
        <f aca="true" t="shared" si="2" ref="C22:AQ22">C23</f>
        <v>56.55</v>
      </c>
      <c r="D22" s="323">
        <f t="shared" si="2"/>
        <v>84.82000000000001</v>
      </c>
      <c r="E22" s="324">
        <f t="shared" si="2"/>
        <v>143.61999999999998</v>
      </c>
      <c r="F22" s="323">
        <f t="shared" si="2"/>
        <v>51.67999999999999</v>
      </c>
      <c r="G22" s="323">
        <f t="shared" si="2"/>
        <v>62.93</v>
      </c>
      <c r="H22" s="323">
        <f t="shared" si="2"/>
        <v>0.48000000000000004</v>
      </c>
      <c r="I22" s="323">
        <f t="shared" si="2"/>
        <v>263.1</v>
      </c>
      <c r="J22" s="323">
        <f t="shared" si="2"/>
        <v>136.98000000000002</v>
      </c>
      <c r="K22" s="323">
        <f t="shared" si="2"/>
        <v>57.49</v>
      </c>
      <c r="L22" s="323">
        <f t="shared" si="2"/>
        <v>84.82000000000001</v>
      </c>
      <c r="M22" s="323">
        <f t="shared" si="2"/>
        <v>132.94</v>
      </c>
      <c r="N22" s="323">
        <f t="shared" si="2"/>
        <v>51.67999999999999</v>
      </c>
      <c r="O22" s="323">
        <f t="shared" si="2"/>
        <v>62.489999999999995</v>
      </c>
      <c r="P22" s="323">
        <f t="shared" si="2"/>
        <v>0.48000000000000004</v>
      </c>
      <c r="Q22" s="323">
        <f t="shared" si="2"/>
        <v>252.92000000000004</v>
      </c>
      <c r="R22" s="323">
        <f t="shared" si="2"/>
        <v>136.98000000000002</v>
      </c>
      <c r="S22" s="323">
        <f t="shared" si="2"/>
        <v>250.91767796610156</v>
      </c>
      <c r="T22" s="324">
        <f t="shared" si="2"/>
        <v>32.26</v>
      </c>
      <c r="U22" s="324">
        <f t="shared" si="2"/>
        <v>0</v>
      </c>
      <c r="V22" s="323">
        <f t="shared" si="2"/>
        <v>7.69</v>
      </c>
      <c r="W22" s="323">
        <f t="shared" si="2"/>
        <v>2.42</v>
      </c>
      <c r="X22" s="324">
        <f t="shared" si="2"/>
        <v>2</v>
      </c>
      <c r="Y22" s="324">
        <f t="shared" si="2"/>
        <v>82.4</v>
      </c>
      <c r="Z22" s="323">
        <f t="shared" si="2"/>
        <v>14.6</v>
      </c>
      <c r="AA22" s="323">
        <f t="shared" si="2"/>
        <v>0</v>
      </c>
      <c r="AB22" s="323">
        <f t="shared" si="2"/>
        <v>56.55</v>
      </c>
      <c r="AC22" s="323">
        <f t="shared" si="2"/>
        <v>84.82000000000001</v>
      </c>
      <c r="AD22" s="324">
        <f t="shared" si="2"/>
        <v>143.61999999999998</v>
      </c>
      <c r="AE22" s="323">
        <f t="shared" si="2"/>
        <v>51.67999999999999</v>
      </c>
      <c r="AF22" s="323">
        <f t="shared" si="2"/>
        <v>62.93</v>
      </c>
      <c r="AG22" s="323">
        <f t="shared" si="2"/>
        <v>0.48000000000000004</v>
      </c>
      <c r="AH22" s="323">
        <f t="shared" si="2"/>
        <v>263.1</v>
      </c>
      <c r="AI22" s="323">
        <f t="shared" si="2"/>
        <v>136.98000000000002</v>
      </c>
      <c r="AJ22" s="323">
        <f t="shared" si="2"/>
        <v>18.990000000000002</v>
      </c>
      <c r="AK22" s="323">
        <f t="shared" si="2"/>
        <v>13.379999999999999</v>
      </c>
      <c r="AL22" s="323">
        <f t="shared" si="2"/>
        <v>13.180000000000001</v>
      </c>
      <c r="AM22" s="323">
        <f t="shared" si="2"/>
        <v>18.709999999999997</v>
      </c>
      <c r="AN22" s="323">
        <f t="shared" si="2"/>
        <v>64.26000000000002</v>
      </c>
      <c r="AO22" s="323">
        <f t="shared" si="2"/>
        <v>132.9672</v>
      </c>
      <c r="AP22" s="323">
        <f t="shared" si="2"/>
        <v>98.62312000000001</v>
      </c>
      <c r="AQ22" s="325">
        <f t="shared" si="2"/>
        <v>295.84632</v>
      </c>
      <c r="AR22" s="320"/>
    </row>
    <row r="23" spans="1:44" s="289" customFormat="1" ht="33.75" customHeight="1">
      <c r="A23" s="326" t="s">
        <v>74</v>
      </c>
      <c r="B23" s="327" t="s">
        <v>75</v>
      </c>
      <c r="C23" s="328">
        <f aca="true" t="shared" si="3" ref="C23:AQ23">SUM(C24:C141)</f>
        <v>56.55</v>
      </c>
      <c r="D23" s="328">
        <f t="shared" si="3"/>
        <v>84.82000000000001</v>
      </c>
      <c r="E23" s="329">
        <f t="shared" si="3"/>
        <v>143.61999999999998</v>
      </c>
      <c r="F23" s="328">
        <f t="shared" si="3"/>
        <v>51.67999999999999</v>
      </c>
      <c r="G23" s="328">
        <f t="shared" si="3"/>
        <v>62.93</v>
      </c>
      <c r="H23" s="328">
        <f t="shared" si="3"/>
        <v>0.48000000000000004</v>
      </c>
      <c r="I23" s="328">
        <f t="shared" si="3"/>
        <v>263.1</v>
      </c>
      <c r="J23" s="328">
        <f t="shared" si="3"/>
        <v>136.98000000000002</v>
      </c>
      <c r="K23" s="328">
        <f t="shared" si="3"/>
        <v>57.49</v>
      </c>
      <c r="L23" s="328">
        <f t="shared" si="3"/>
        <v>84.82000000000001</v>
      </c>
      <c r="M23" s="328">
        <f t="shared" si="3"/>
        <v>132.94</v>
      </c>
      <c r="N23" s="328">
        <f t="shared" si="3"/>
        <v>51.67999999999999</v>
      </c>
      <c r="O23" s="328">
        <f t="shared" si="3"/>
        <v>62.489999999999995</v>
      </c>
      <c r="P23" s="328">
        <f t="shared" si="3"/>
        <v>0.48000000000000004</v>
      </c>
      <c r="Q23" s="328">
        <f t="shared" si="3"/>
        <v>252.92000000000004</v>
      </c>
      <c r="R23" s="328">
        <f t="shared" si="3"/>
        <v>136.98000000000002</v>
      </c>
      <c r="S23" s="328">
        <f t="shared" si="3"/>
        <v>250.91767796610156</v>
      </c>
      <c r="T23" s="329">
        <f t="shared" si="3"/>
        <v>32.26</v>
      </c>
      <c r="U23" s="329">
        <f t="shared" si="3"/>
        <v>0</v>
      </c>
      <c r="V23" s="328">
        <f t="shared" si="3"/>
        <v>7.69</v>
      </c>
      <c r="W23" s="328">
        <f t="shared" si="3"/>
        <v>2.42</v>
      </c>
      <c r="X23" s="329">
        <f t="shared" si="3"/>
        <v>2</v>
      </c>
      <c r="Y23" s="329">
        <f t="shared" si="3"/>
        <v>82.4</v>
      </c>
      <c r="Z23" s="328">
        <f t="shared" si="3"/>
        <v>14.6</v>
      </c>
      <c r="AA23" s="328">
        <f t="shared" si="3"/>
        <v>0</v>
      </c>
      <c r="AB23" s="328">
        <f t="shared" si="3"/>
        <v>56.55</v>
      </c>
      <c r="AC23" s="328">
        <f t="shared" si="3"/>
        <v>84.82000000000001</v>
      </c>
      <c r="AD23" s="329">
        <f t="shared" si="3"/>
        <v>143.61999999999998</v>
      </c>
      <c r="AE23" s="328">
        <f t="shared" si="3"/>
        <v>51.67999999999999</v>
      </c>
      <c r="AF23" s="328">
        <f t="shared" si="3"/>
        <v>62.93</v>
      </c>
      <c r="AG23" s="328">
        <f t="shared" si="3"/>
        <v>0.48000000000000004</v>
      </c>
      <c r="AH23" s="328">
        <f t="shared" si="3"/>
        <v>263.1</v>
      </c>
      <c r="AI23" s="328">
        <f t="shared" si="3"/>
        <v>136.98000000000002</v>
      </c>
      <c r="AJ23" s="328">
        <f t="shared" si="3"/>
        <v>18.990000000000002</v>
      </c>
      <c r="AK23" s="328">
        <f t="shared" si="3"/>
        <v>13.379999999999999</v>
      </c>
      <c r="AL23" s="328">
        <f t="shared" si="3"/>
        <v>13.180000000000001</v>
      </c>
      <c r="AM23" s="328">
        <f t="shared" si="3"/>
        <v>18.709999999999997</v>
      </c>
      <c r="AN23" s="328">
        <f t="shared" si="3"/>
        <v>64.26000000000002</v>
      </c>
      <c r="AO23" s="328">
        <f t="shared" si="3"/>
        <v>132.9672</v>
      </c>
      <c r="AP23" s="328">
        <f t="shared" si="3"/>
        <v>98.62312000000001</v>
      </c>
      <c r="AQ23" s="330">
        <f t="shared" si="3"/>
        <v>295.84632</v>
      </c>
      <c r="AR23" s="320"/>
    </row>
    <row r="24" spans="1:44" s="289" customFormat="1" ht="35.25" customHeight="1">
      <c r="A24" s="331" t="s">
        <v>76</v>
      </c>
      <c r="B24" s="332" t="s">
        <v>77</v>
      </c>
      <c r="C24" s="333"/>
      <c r="D24" s="333">
        <v>50.5</v>
      </c>
      <c r="E24" s="334"/>
      <c r="F24" s="335"/>
      <c r="G24" s="335"/>
      <c r="H24" s="335"/>
      <c r="I24" s="335"/>
      <c r="J24" s="335">
        <f aca="true" t="shared" si="4" ref="J24:J29">C24+D24+E24+F24+G24+H24</f>
        <v>50.5</v>
      </c>
      <c r="K24" s="335"/>
      <c r="L24" s="333">
        <v>50.5</v>
      </c>
      <c r="M24" s="335"/>
      <c r="N24" s="335"/>
      <c r="O24" s="335"/>
      <c r="P24" s="335"/>
      <c r="Q24" s="335" t="s">
        <v>37</v>
      </c>
      <c r="R24" s="335">
        <f aca="true" t="shared" si="5" ref="R24:R29">K24+L24+M24+N24+O24+P24</f>
        <v>50.5</v>
      </c>
      <c r="S24" s="336">
        <f>1.483+(1.94+0.51+2.37+0.59)+0.85+0.53+(11.44+0.657)+2.05</f>
        <v>22.419999999999998</v>
      </c>
      <c r="T24" s="334"/>
      <c r="U24" s="334"/>
      <c r="V24" s="335"/>
      <c r="W24" s="335"/>
      <c r="X24" s="334"/>
      <c r="Y24" s="334">
        <v>50.5</v>
      </c>
      <c r="Z24" s="335"/>
      <c r="AA24" s="335"/>
      <c r="AB24" s="335"/>
      <c r="AC24" s="335">
        <f aca="true" t="shared" si="6" ref="AC24:AC29">AA24+Z24+Y24+X24+W24+V24+U24+T24</f>
        <v>50.5</v>
      </c>
      <c r="AD24" s="334"/>
      <c r="AE24" s="335"/>
      <c r="AF24" s="335"/>
      <c r="AG24" s="335"/>
      <c r="AH24" s="335"/>
      <c r="AI24" s="335">
        <f aca="true" t="shared" si="7" ref="AI24:AI29">AC24+AE24+AG24</f>
        <v>50.5</v>
      </c>
      <c r="AJ24" s="337"/>
      <c r="AK24" s="337"/>
      <c r="AL24" s="337">
        <v>1.75</v>
      </c>
      <c r="AM24" s="337"/>
      <c r="AN24" s="338">
        <f aca="true" t="shared" si="8" ref="AN24:AN131">AM24+AL24+AK24+AJ24</f>
        <v>1.75</v>
      </c>
      <c r="AO24" s="338">
        <f>(1.94+0.51+2.37+0.59)*1.18+0.85+0.53</f>
        <v>7.7638</v>
      </c>
      <c r="AP24" s="338">
        <f>'приложение 1.1'!V21</f>
        <v>16.70526</v>
      </c>
      <c r="AQ24" s="339">
        <f>AP24+AO24+AN24</f>
        <v>26.21906</v>
      </c>
      <c r="AR24" s="340"/>
    </row>
    <row r="25" spans="1:44" s="289" customFormat="1" ht="35.25" customHeight="1">
      <c r="A25" s="341" t="s">
        <v>79</v>
      </c>
      <c r="B25" s="342" t="s">
        <v>80</v>
      </c>
      <c r="C25" s="343"/>
      <c r="D25" s="343">
        <v>18.7</v>
      </c>
      <c r="E25" s="344"/>
      <c r="F25" s="345"/>
      <c r="G25" s="345"/>
      <c r="H25" s="345"/>
      <c r="I25" s="345"/>
      <c r="J25" s="345">
        <f t="shared" si="4"/>
        <v>18.7</v>
      </c>
      <c r="K25" s="345"/>
      <c r="L25" s="343">
        <v>18.7</v>
      </c>
      <c r="M25" s="345"/>
      <c r="N25" s="345"/>
      <c r="O25" s="345"/>
      <c r="P25" s="345"/>
      <c r="Q25" s="345"/>
      <c r="R25" s="345">
        <f t="shared" si="5"/>
        <v>18.7</v>
      </c>
      <c r="S25" s="345">
        <f aca="true" t="shared" si="9" ref="S25:S141">AQ25/1.18</f>
        <v>5.4491525423728815</v>
      </c>
      <c r="T25" s="344"/>
      <c r="U25" s="344"/>
      <c r="V25" s="345"/>
      <c r="W25" s="345"/>
      <c r="X25" s="344"/>
      <c r="Y25" s="344">
        <v>18.7</v>
      </c>
      <c r="Z25" s="345"/>
      <c r="AA25" s="345"/>
      <c r="AB25" s="345"/>
      <c r="AC25" s="345">
        <f t="shared" si="6"/>
        <v>18.7</v>
      </c>
      <c r="AD25" s="344"/>
      <c r="AE25" s="345"/>
      <c r="AF25" s="345"/>
      <c r="AG25" s="345"/>
      <c r="AH25" s="345"/>
      <c r="AI25" s="345">
        <f t="shared" si="7"/>
        <v>18.7</v>
      </c>
      <c r="AJ25" s="346"/>
      <c r="AK25" s="346"/>
      <c r="AL25" s="347">
        <v>4.7</v>
      </c>
      <c r="AM25" s="346"/>
      <c r="AN25" s="347">
        <f t="shared" si="8"/>
        <v>4.7</v>
      </c>
      <c r="AO25" s="346"/>
      <c r="AP25" s="346">
        <v>1.734</v>
      </c>
      <c r="AQ25" s="348">
        <v>6.43</v>
      </c>
      <c r="AR25" s="340"/>
    </row>
    <row r="26" spans="1:44" s="289" customFormat="1" ht="35.25" customHeight="1">
      <c r="A26" s="341" t="s">
        <v>81</v>
      </c>
      <c r="B26" s="349" t="s">
        <v>82</v>
      </c>
      <c r="C26" s="343"/>
      <c r="D26" s="343">
        <v>12.5</v>
      </c>
      <c r="E26" s="344"/>
      <c r="F26" s="345"/>
      <c r="G26" s="345"/>
      <c r="H26" s="345"/>
      <c r="I26" s="345"/>
      <c r="J26" s="345">
        <f t="shared" si="4"/>
        <v>12.5</v>
      </c>
      <c r="K26" s="345"/>
      <c r="L26" s="343">
        <v>12.5</v>
      </c>
      <c r="M26" s="345"/>
      <c r="N26" s="345"/>
      <c r="O26" s="345"/>
      <c r="P26" s="345"/>
      <c r="Q26" s="345"/>
      <c r="R26" s="345">
        <f t="shared" si="5"/>
        <v>12.5</v>
      </c>
      <c r="S26" s="345">
        <f t="shared" si="9"/>
        <v>3.3338983050847455</v>
      </c>
      <c r="T26" s="344"/>
      <c r="U26" s="344"/>
      <c r="V26" s="345"/>
      <c r="W26" s="345"/>
      <c r="X26" s="344"/>
      <c r="Y26" s="344">
        <v>12.5</v>
      </c>
      <c r="Z26" s="345"/>
      <c r="AA26" s="345"/>
      <c r="AB26" s="345"/>
      <c r="AC26" s="345">
        <f t="shared" si="6"/>
        <v>12.5</v>
      </c>
      <c r="AD26" s="344"/>
      <c r="AE26" s="345"/>
      <c r="AF26" s="345"/>
      <c r="AG26" s="345"/>
      <c r="AH26" s="345"/>
      <c r="AI26" s="345">
        <f t="shared" si="7"/>
        <v>12.5</v>
      </c>
      <c r="AJ26" s="346"/>
      <c r="AK26" s="346"/>
      <c r="AL26" s="347">
        <v>3.26</v>
      </c>
      <c r="AM26" s="346"/>
      <c r="AN26" s="347">
        <f t="shared" si="8"/>
        <v>3.26</v>
      </c>
      <c r="AO26" s="346">
        <v>0.674</v>
      </c>
      <c r="AP26" s="346"/>
      <c r="AQ26" s="348">
        <f aca="true" t="shared" si="10" ref="AQ26:AQ141">AP26+AO26+AN26</f>
        <v>3.9339999999999997</v>
      </c>
      <c r="AR26" s="340"/>
    </row>
    <row r="27" spans="1:44" s="289" customFormat="1" ht="35.25" customHeight="1">
      <c r="A27" s="341" t="s">
        <v>83</v>
      </c>
      <c r="B27" s="350" t="s">
        <v>84</v>
      </c>
      <c r="C27" s="343"/>
      <c r="D27" s="343">
        <v>1.52</v>
      </c>
      <c r="E27" s="344"/>
      <c r="F27" s="345"/>
      <c r="G27" s="345"/>
      <c r="H27" s="345"/>
      <c r="I27" s="345"/>
      <c r="J27" s="345">
        <f t="shared" si="4"/>
        <v>1.52</v>
      </c>
      <c r="K27" s="345"/>
      <c r="L27" s="343">
        <v>1.52</v>
      </c>
      <c r="M27" s="345"/>
      <c r="N27" s="345"/>
      <c r="O27" s="345"/>
      <c r="P27" s="345"/>
      <c r="Q27" s="345"/>
      <c r="R27" s="345">
        <f t="shared" si="5"/>
        <v>1.52</v>
      </c>
      <c r="S27" s="345">
        <f t="shared" si="9"/>
        <v>0.6864406779661018</v>
      </c>
      <c r="T27" s="344"/>
      <c r="U27" s="344"/>
      <c r="V27" s="345"/>
      <c r="W27" s="343">
        <v>1.52</v>
      </c>
      <c r="X27" s="344"/>
      <c r="Y27" s="344"/>
      <c r="Z27" s="345"/>
      <c r="AA27" s="345"/>
      <c r="AB27" s="345"/>
      <c r="AC27" s="345">
        <f t="shared" si="6"/>
        <v>1.52</v>
      </c>
      <c r="AD27" s="344"/>
      <c r="AE27" s="345"/>
      <c r="AF27" s="345"/>
      <c r="AG27" s="345"/>
      <c r="AH27" s="345"/>
      <c r="AI27" s="345">
        <f t="shared" si="7"/>
        <v>1.52</v>
      </c>
      <c r="AJ27" s="346"/>
      <c r="AK27" s="346">
        <v>0.81</v>
      </c>
      <c r="AL27" s="347"/>
      <c r="AM27" s="346"/>
      <c r="AN27" s="347">
        <f t="shared" si="8"/>
        <v>0.81</v>
      </c>
      <c r="AO27" s="346"/>
      <c r="AP27" s="346"/>
      <c r="AQ27" s="348">
        <f t="shared" si="10"/>
        <v>0.81</v>
      </c>
      <c r="AR27" s="340"/>
    </row>
    <row r="28" spans="1:44" s="289" customFormat="1" ht="35.25" customHeight="1">
      <c r="A28" s="341" t="s">
        <v>85</v>
      </c>
      <c r="B28" s="350" t="s">
        <v>86</v>
      </c>
      <c r="C28" s="343"/>
      <c r="D28" s="343">
        <v>0.56</v>
      </c>
      <c r="E28" s="344"/>
      <c r="F28" s="345"/>
      <c r="G28" s="345"/>
      <c r="H28" s="345"/>
      <c r="I28" s="345"/>
      <c r="J28" s="345">
        <f t="shared" si="4"/>
        <v>0.56</v>
      </c>
      <c r="K28" s="345"/>
      <c r="L28" s="343">
        <v>0.56</v>
      </c>
      <c r="M28" s="345"/>
      <c r="N28" s="345"/>
      <c r="O28" s="345"/>
      <c r="P28" s="345"/>
      <c r="Q28" s="345"/>
      <c r="R28" s="345">
        <f t="shared" si="5"/>
        <v>0.56</v>
      </c>
      <c r="S28" s="345">
        <f t="shared" si="9"/>
        <v>0.2711864406779661</v>
      </c>
      <c r="T28" s="344"/>
      <c r="U28" s="344"/>
      <c r="V28" s="345"/>
      <c r="W28" s="343">
        <v>0.56</v>
      </c>
      <c r="X28" s="344"/>
      <c r="Y28" s="344"/>
      <c r="Z28" s="345"/>
      <c r="AA28" s="345"/>
      <c r="AB28" s="345"/>
      <c r="AC28" s="345">
        <f t="shared" si="6"/>
        <v>0.56</v>
      </c>
      <c r="AD28" s="344"/>
      <c r="AE28" s="345"/>
      <c r="AF28" s="345"/>
      <c r="AG28" s="345"/>
      <c r="AH28" s="345"/>
      <c r="AI28" s="345">
        <f t="shared" si="7"/>
        <v>0.56</v>
      </c>
      <c r="AJ28" s="346"/>
      <c r="AK28" s="346">
        <v>0.32</v>
      </c>
      <c r="AL28" s="347"/>
      <c r="AM28" s="346"/>
      <c r="AN28" s="347">
        <f t="shared" si="8"/>
        <v>0.32</v>
      </c>
      <c r="AO28" s="346"/>
      <c r="AP28" s="346"/>
      <c r="AQ28" s="348">
        <f t="shared" si="10"/>
        <v>0.32</v>
      </c>
      <c r="AR28" s="340"/>
    </row>
    <row r="29" spans="1:44" s="289" customFormat="1" ht="35.25" customHeight="1">
      <c r="A29" s="341" t="s">
        <v>87</v>
      </c>
      <c r="B29" s="351" t="s">
        <v>88</v>
      </c>
      <c r="C29" s="343"/>
      <c r="D29" s="343">
        <v>0.34</v>
      </c>
      <c r="E29" s="344"/>
      <c r="F29" s="345"/>
      <c r="G29" s="345"/>
      <c r="H29" s="345"/>
      <c r="I29" s="345"/>
      <c r="J29" s="345">
        <f t="shared" si="4"/>
        <v>0.34</v>
      </c>
      <c r="K29" s="345"/>
      <c r="L29" s="343">
        <v>0.34</v>
      </c>
      <c r="M29" s="345"/>
      <c r="N29" s="345"/>
      <c r="O29" s="345"/>
      <c r="P29" s="345"/>
      <c r="Q29" s="345"/>
      <c r="R29" s="345">
        <f t="shared" si="5"/>
        <v>0.34</v>
      </c>
      <c r="S29" s="345">
        <f t="shared" si="9"/>
        <v>0.22881355932203393</v>
      </c>
      <c r="T29" s="344"/>
      <c r="U29" s="344"/>
      <c r="V29" s="345"/>
      <c r="W29" s="343">
        <v>0.34</v>
      </c>
      <c r="X29" s="344"/>
      <c r="Y29" s="344"/>
      <c r="Z29" s="345"/>
      <c r="AA29" s="345"/>
      <c r="AB29" s="345"/>
      <c r="AC29" s="345">
        <f t="shared" si="6"/>
        <v>0.34</v>
      </c>
      <c r="AD29" s="344"/>
      <c r="AE29" s="345"/>
      <c r="AF29" s="345"/>
      <c r="AG29" s="345"/>
      <c r="AH29" s="345"/>
      <c r="AI29" s="345">
        <f t="shared" si="7"/>
        <v>0.34</v>
      </c>
      <c r="AJ29" s="346"/>
      <c r="AK29" s="346">
        <v>0.27</v>
      </c>
      <c r="AL29" s="347"/>
      <c r="AM29" s="346"/>
      <c r="AN29" s="347">
        <f t="shared" si="8"/>
        <v>0.27</v>
      </c>
      <c r="AO29" s="346"/>
      <c r="AP29" s="346"/>
      <c r="AQ29" s="348">
        <f t="shared" si="10"/>
        <v>0.27</v>
      </c>
      <c r="AR29" s="340"/>
    </row>
    <row r="30" spans="1:44" s="289" customFormat="1" ht="15">
      <c r="A30" s="341" t="s">
        <v>89</v>
      </c>
      <c r="B30" s="351" t="s">
        <v>90</v>
      </c>
      <c r="C30" s="343">
        <v>0.4</v>
      </c>
      <c r="D30" s="343"/>
      <c r="E30" s="344"/>
      <c r="F30" s="345"/>
      <c r="G30" s="345"/>
      <c r="H30" s="345"/>
      <c r="I30" s="345">
        <f>H30+G30+F30+E30+D30+C30</f>
        <v>0.4</v>
      </c>
      <c r="J30" s="345"/>
      <c r="K30" s="345">
        <v>0.4</v>
      </c>
      <c r="L30" s="343"/>
      <c r="M30" s="345"/>
      <c r="N30" s="345"/>
      <c r="O30" s="345"/>
      <c r="P30" s="345"/>
      <c r="Q30" s="345">
        <v>0.4</v>
      </c>
      <c r="R30" s="345"/>
      <c r="S30" s="345">
        <f t="shared" si="9"/>
        <v>0.5</v>
      </c>
      <c r="T30" s="344"/>
      <c r="U30" s="344"/>
      <c r="V30" s="345">
        <v>0.4</v>
      </c>
      <c r="W30" s="343"/>
      <c r="X30" s="344"/>
      <c r="Y30" s="344"/>
      <c r="Z30" s="345"/>
      <c r="AA30" s="345"/>
      <c r="AB30" s="345">
        <v>0.4</v>
      </c>
      <c r="AC30" s="345"/>
      <c r="AD30" s="344"/>
      <c r="AE30" s="345"/>
      <c r="AF30" s="345"/>
      <c r="AG30" s="345"/>
      <c r="AH30" s="345">
        <f>AB30+AD30+AF30</f>
        <v>0.4</v>
      </c>
      <c r="AI30" s="345"/>
      <c r="AJ30" s="346"/>
      <c r="AK30" s="346">
        <v>0.59</v>
      </c>
      <c r="AL30" s="347"/>
      <c r="AM30" s="346"/>
      <c r="AN30" s="347">
        <f t="shared" si="8"/>
        <v>0.59</v>
      </c>
      <c r="AO30" s="346"/>
      <c r="AP30" s="346"/>
      <c r="AQ30" s="348">
        <f t="shared" si="10"/>
        <v>0.59</v>
      </c>
      <c r="AR30" s="340"/>
    </row>
    <row r="31" spans="1:44" s="289" customFormat="1" ht="15">
      <c r="A31" s="341" t="s">
        <v>91</v>
      </c>
      <c r="B31" s="350" t="s">
        <v>92</v>
      </c>
      <c r="C31" s="343"/>
      <c r="D31" s="343">
        <v>0.7</v>
      </c>
      <c r="E31" s="344"/>
      <c r="F31" s="345"/>
      <c r="G31" s="345"/>
      <c r="H31" s="345"/>
      <c r="I31" s="345"/>
      <c r="J31" s="345">
        <f>C31+D31+E31+F31+G31+H31</f>
        <v>0.7</v>
      </c>
      <c r="K31" s="345"/>
      <c r="L31" s="343">
        <v>0.7</v>
      </c>
      <c r="M31" s="345"/>
      <c r="N31" s="345"/>
      <c r="O31" s="345"/>
      <c r="P31" s="345"/>
      <c r="Q31" s="345"/>
      <c r="R31" s="345">
        <f>K31+L31+M31+N31+O31+P31</f>
        <v>0.7</v>
      </c>
      <c r="S31" s="345">
        <f t="shared" si="9"/>
        <v>1.4830508474576272</v>
      </c>
      <c r="T31" s="344"/>
      <c r="U31" s="344"/>
      <c r="V31" s="345"/>
      <c r="W31" s="343"/>
      <c r="X31" s="344"/>
      <c r="Y31" s="344">
        <v>0.7</v>
      </c>
      <c r="Z31" s="345"/>
      <c r="AA31" s="345"/>
      <c r="AB31" s="345"/>
      <c r="AC31" s="345">
        <f>AA31+Z31+Y31+X31+W31+V31+U31+T31</f>
        <v>0.7</v>
      </c>
      <c r="AD31" s="344"/>
      <c r="AE31" s="345"/>
      <c r="AF31" s="345"/>
      <c r="AG31" s="345"/>
      <c r="AH31" s="345"/>
      <c r="AI31" s="345">
        <f>AC31+AE31+AG31</f>
        <v>0.7</v>
      </c>
      <c r="AJ31" s="346"/>
      <c r="AK31" s="346"/>
      <c r="AL31" s="347">
        <v>1.75</v>
      </c>
      <c r="AM31" s="346"/>
      <c r="AN31" s="347">
        <f t="shared" si="8"/>
        <v>1.75</v>
      </c>
      <c r="AO31" s="346"/>
      <c r="AP31" s="346"/>
      <c r="AQ31" s="348">
        <f t="shared" si="10"/>
        <v>1.75</v>
      </c>
      <c r="AR31" s="340"/>
    </row>
    <row r="32" spans="1:44" s="289" customFormat="1" ht="15">
      <c r="A32" s="341" t="s">
        <v>93</v>
      </c>
      <c r="B32" s="342" t="s">
        <v>94</v>
      </c>
      <c r="C32" s="343">
        <v>2</v>
      </c>
      <c r="D32" s="343"/>
      <c r="E32" s="344"/>
      <c r="F32" s="345"/>
      <c r="G32" s="345"/>
      <c r="H32" s="345"/>
      <c r="I32" s="345">
        <f aca="true" t="shared" si="11" ref="I32:I51">H32+G32+F32+E32+D32+C32</f>
        <v>2</v>
      </c>
      <c r="J32" s="345"/>
      <c r="K32" s="343">
        <v>2</v>
      </c>
      <c r="L32" s="345"/>
      <c r="M32" s="345"/>
      <c r="N32" s="345"/>
      <c r="O32" s="345"/>
      <c r="P32" s="345"/>
      <c r="Q32" s="345">
        <f aca="true" t="shared" si="12" ref="Q32:Q51">P32+O32+N32+M32+L32+K32</f>
        <v>2</v>
      </c>
      <c r="R32" s="345"/>
      <c r="S32" s="345">
        <f t="shared" si="9"/>
        <v>1.6016949152542372</v>
      </c>
      <c r="T32" s="344">
        <v>2</v>
      </c>
      <c r="U32" s="344"/>
      <c r="V32" s="345"/>
      <c r="W32" s="345"/>
      <c r="X32" s="344"/>
      <c r="Y32" s="344"/>
      <c r="Z32" s="343"/>
      <c r="AA32" s="345"/>
      <c r="AB32" s="345">
        <f aca="true" t="shared" si="13" ref="AB32:AB51">AA32+Z32+Y32+X32+W32+V32+U32+T32</f>
        <v>2</v>
      </c>
      <c r="AC32" s="345"/>
      <c r="AD32" s="344"/>
      <c r="AE32" s="345"/>
      <c r="AF32" s="345"/>
      <c r="AG32" s="345"/>
      <c r="AH32" s="345">
        <f aca="true" t="shared" si="14" ref="AH32:AH51">AB32+AD32+AF32</f>
        <v>2</v>
      </c>
      <c r="AI32" s="345"/>
      <c r="AJ32" s="346">
        <v>1.72</v>
      </c>
      <c r="AK32" s="346"/>
      <c r="AL32" s="346"/>
      <c r="AM32" s="347"/>
      <c r="AN32" s="347">
        <f t="shared" si="8"/>
        <v>1.72</v>
      </c>
      <c r="AO32" s="346">
        <v>0.17</v>
      </c>
      <c r="AP32" s="346"/>
      <c r="AQ32" s="348">
        <f t="shared" si="10"/>
        <v>1.89</v>
      </c>
      <c r="AR32" s="340"/>
    </row>
    <row r="33" spans="1:44" s="354" customFormat="1" ht="15">
      <c r="A33" s="341" t="s">
        <v>95</v>
      </c>
      <c r="B33" s="352" t="s">
        <v>96</v>
      </c>
      <c r="C33" s="353">
        <v>2</v>
      </c>
      <c r="D33" s="347"/>
      <c r="E33" s="343"/>
      <c r="F33" s="343"/>
      <c r="G33" s="343"/>
      <c r="H33" s="353"/>
      <c r="I33" s="345">
        <f t="shared" si="11"/>
        <v>2</v>
      </c>
      <c r="J33" s="353"/>
      <c r="K33" s="353">
        <v>2</v>
      </c>
      <c r="L33" s="353"/>
      <c r="M33" s="353"/>
      <c r="N33" s="353"/>
      <c r="O33" s="353"/>
      <c r="P33" s="353"/>
      <c r="Q33" s="345">
        <f t="shared" si="12"/>
        <v>2</v>
      </c>
      <c r="R33" s="345"/>
      <c r="S33" s="345">
        <f t="shared" si="9"/>
        <v>1.807627118644068</v>
      </c>
      <c r="T33" s="353"/>
      <c r="U33" s="353"/>
      <c r="V33" s="353">
        <v>2</v>
      </c>
      <c r="W33" s="353"/>
      <c r="X33" s="353"/>
      <c r="Y33" s="347"/>
      <c r="Z33" s="347"/>
      <c r="AA33" s="353"/>
      <c r="AB33" s="345">
        <f t="shared" si="13"/>
        <v>2</v>
      </c>
      <c r="AC33" s="345"/>
      <c r="AD33" s="353"/>
      <c r="AE33" s="353"/>
      <c r="AF33" s="353"/>
      <c r="AG33" s="353"/>
      <c r="AH33" s="345">
        <f t="shared" si="14"/>
        <v>2</v>
      </c>
      <c r="AI33" s="353"/>
      <c r="AJ33" s="343"/>
      <c r="AK33" s="343">
        <v>1.72</v>
      </c>
      <c r="AL33" s="343"/>
      <c r="AM33" s="343"/>
      <c r="AN33" s="347">
        <f t="shared" si="8"/>
        <v>1.72</v>
      </c>
      <c r="AO33" s="347">
        <f>(0.32+0.03)*1.18</f>
        <v>0.413</v>
      </c>
      <c r="AP33" s="343"/>
      <c r="AQ33" s="348">
        <f t="shared" si="10"/>
        <v>2.133</v>
      </c>
      <c r="AR33" s="340"/>
    </row>
    <row r="34" spans="1:44" s="289" customFormat="1" ht="15">
      <c r="A34" s="341" t="s">
        <v>97</v>
      </c>
      <c r="B34" s="355" t="s">
        <v>98</v>
      </c>
      <c r="C34" s="343">
        <v>2</v>
      </c>
      <c r="D34" s="343"/>
      <c r="E34" s="344"/>
      <c r="F34" s="345"/>
      <c r="G34" s="345"/>
      <c r="H34" s="345"/>
      <c r="I34" s="345">
        <f t="shared" si="11"/>
        <v>2</v>
      </c>
      <c r="J34" s="345"/>
      <c r="K34" s="343">
        <v>2</v>
      </c>
      <c r="L34" s="345"/>
      <c r="M34" s="345"/>
      <c r="N34" s="345"/>
      <c r="O34" s="345"/>
      <c r="P34" s="345"/>
      <c r="Q34" s="345">
        <f t="shared" si="12"/>
        <v>2</v>
      </c>
      <c r="R34" s="345"/>
      <c r="S34" s="345">
        <f t="shared" si="9"/>
        <v>1.457627118644068</v>
      </c>
      <c r="T34" s="344"/>
      <c r="U34" s="344"/>
      <c r="V34" s="345"/>
      <c r="W34" s="345"/>
      <c r="X34" s="344">
        <v>2</v>
      </c>
      <c r="Y34" s="344"/>
      <c r="Z34" s="343"/>
      <c r="AA34" s="345"/>
      <c r="AB34" s="345">
        <f t="shared" si="13"/>
        <v>2</v>
      </c>
      <c r="AC34" s="345"/>
      <c r="AD34" s="344"/>
      <c r="AE34" s="345"/>
      <c r="AF34" s="345"/>
      <c r="AG34" s="345"/>
      <c r="AH34" s="345">
        <f t="shared" si="14"/>
        <v>2</v>
      </c>
      <c r="AI34" s="345"/>
      <c r="AJ34" s="346"/>
      <c r="AK34" s="346"/>
      <c r="AL34" s="346">
        <v>1.72</v>
      </c>
      <c r="AM34" s="347"/>
      <c r="AN34" s="347">
        <f t="shared" si="8"/>
        <v>1.72</v>
      </c>
      <c r="AO34" s="346"/>
      <c r="AP34" s="346"/>
      <c r="AQ34" s="348">
        <f t="shared" si="10"/>
        <v>1.72</v>
      </c>
      <c r="AR34" s="340"/>
    </row>
    <row r="35" spans="1:44" s="289" customFormat="1" ht="15">
      <c r="A35" s="341" t="s">
        <v>99</v>
      </c>
      <c r="B35" s="355" t="s">
        <v>100</v>
      </c>
      <c r="C35" s="343">
        <v>2</v>
      </c>
      <c r="D35" s="343"/>
      <c r="E35" s="344"/>
      <c r="F35" s="345"/>
      <c r="G35" s="345"/>
      <c r="H35" s="345"/>
      <c r="I35" s="345">
        <f t="shared" si="11"/>
        <v>2</v>
      </c>
      <c r="J35" s="345"/>
      <c r="K35" s="343">
        <v>2</v>
      </c>
      <c r="L35" s="345"/>
      <c r="M35" s="345"/>
      <c r="N35" s="345"/>
      <c r="O35" s="345"/>
      <c r="P35" s="345"/>
      <c r="Q35" s="345">
        <f t="shared" si="12"/>
        <v>2</v>
      </c>
      <c r="R35" s="345"/>
      <c r="S35" s="345">
        <f t="shared" si="9"/>
        <v>1.457627118644068</v>
      </c>
      <c r="T35" s="344"/>
      <c r="U35" s="344"/>
      <c r="V35" s="345"/>
      <c r="W35" s="345"/>
      <c r="X35" s="344"/>
      <c r="Y35" s="344"/>
      <c r="Z35" s="343">
        <v>2</v>
      </c>
      <c r="AA35" s="345"/>
      <c r="AB35" s="345">
        <f t="shared" si="13"/>
        <v>2</v>
      </c>
      <c r="AC35" s="345"/>
      <c r="AD35" s="344"/>
      <c r="AE35" s="345"/>
      <c r="AF35" s="345"/>
      <c r="AG35" s="345"/>
      <c r="AH35" s="345">
        <f t="shared" si="14"/>
        <v>2</v>
      </c>
      <c r="AI35" s="345"/>
      <c r="AJ35" s="346"/>
      <c r="AK35" s="346"/>
      <c r="AL35" s="346"/>
      <c r="AM35" s="347">
        <v>1.72</v>
      </c>
      <c r="AN35" s="347">
        <f t="shared" si="8"/>
        <v>1.72</v>
      </c>
      <c r="AO35" s="346"/>
      <c r="AP35" s="346"/>
      <c r="AQ35" s="348">
        <f t="shared" si="10"/>
        <v>1.72</v>
      </c>
      <c r="AR35" s="340"/>
    </row>
    <row r="36" spans="1:44" s="289" customFormat="1" ht="15">
      <c r="A36" s="341" t="s">
        <v>101</v>
      </c>
      <c r="B36" s="355" t="s">
        <v>102</v>
      </c>
      <c r="C36" s="343">
        <v>2</v>
      </c>
      <c r="D36" s="343"/>
      <c r="E36" s="344"/>
      <c r="F36" s="345"/>
      <c r="G36" s="345"/>
      <c r="H36" s="345"/>
      <c r="I36" s="345">
        <f t="shared" si="11"/>
        <v>2</v>
      </c>
      <c r="J36" s="345"/>
      <c r="K36" s="343">
        <v>2</v>
      </c>
      <c r="L36" s="345"/>
      <c r="M36" s="345"/>
      <c r="N36" s="345"/>
      <c r="O36" s="345"/>
      <c r="P36" s="345"/>
      <c r="Q36" s="345">
        <f t="shared" si="12"/>
        <v>2</v>
      </c>
      <c r="R36" s="345"/>
      <c r="S36" s="345">
        <f t="shared" si="9"/>
        <v>1.1610169491525426</v>
      </c>
      <c r="T36" s="344"/>
      <c r="U36" s="344"/>
      <c r="V36" s="345">
        <v>2</v>
      </c>
      <c r="W36" s="345"/>
      <c r="X36" s="344"/>
      <c r="Y36" s="344"/>
      <c r="Z36" s="343"/>
      <c r="AA36" s="345"/>
      <c r="AB36" s="345">
        <f t="shared" si="13"/>
        <v>2</v>
      </c>
      <c r="AC36" s="345"/>
      <c r="AD36" s="344"/>
      <c r="AE36" s="345"/>
      <c r="AF36" s="345"/>
      <c r="AG36" s="345"/>
      <c r="AH36" s="345">
        <f t="shared" si="14"/>
        <v>2</v>
      </c>
      <c r="AI36" s="345"/>
      <c r="AJ36" s="346"/>
      <c r="AK36" s="346">
        <v>1.37</v>
      </c>
      <c r="AL36" s="346"/>
      <c r="AM36" s="347"/>
      <c r="AN36" s="347">
        <f t="shared" si="8"/>
        <v>1.37</v>
      </c>
      <c r="AO36" s="346"/>
      <c r="AP36" s="346"/>
      <c r="AQ36" s="348">
        <f t="shared" si="10"/>
        <v>1.37</v>
      </c>
      <c r="AR36" s="340"/>
    </row>
    <row r="37" spans="1:44" s="289" customFormat="1" ht="15">
      <c r="A37" s="341" t="s">
        <v>103</v>
      </c>
      <c r="B37" s="342" t="s">
        <v>104</v>
      </c>
      <c r="C37" s="343">
        <v>0.16</v>
      </c>
      <c r="D37" s="343"/>
      <c r="E37" s="344"/>
      <c r="F37" s="345"/>
      <c r="G37" s="345"/>
      <c r="H37" s="345"/>
      <c r="I37" s="345">
        <f t="shared" si="11"/>
        <v>0.16</v>
      </c>
      <c r="J37" s="345"/>
      <c r="K37" s="345">
        <v>0.25</v>
      </c>
      <c r="L37" s="345"/>
      <c r="M37" s="345"/>
      <c r="N37" s="345"/>
      <c r="O37" s="345"/>
      <c r="P37" s="345"/>
      <c r="Q37" s="345">
        <f t="shared" si="12"/>
        <v>0.25</v>
      </c>
      <c r="R37" s="345"/>
      <c r="S37" s="345">
        <f t="shared" si="9"/>
        <v>0.7203389830508474</v>
      </c>
      <c r="T37" s="343"/>
      <c r="U37" s="344"/>
      <c r="V37" s="345">
        <v>0.16</v>
      </c>
      <c r="W37" s="345"/>
      <c r="X37" s="344"/>
      <c r="Y37" s="344"/>
      <c r="Z37" s="343"/>
      <c r="AA37" s="345"/>
      <c r="AB37" s="345">
        <f t="shared" si="13"/>
        <v>0.16</v>
      </c>
      <c r="AC37" s="345"/>
      <c r="AD37" s="344"/>
      <c r="AE37" s="345"/>
      <c r="AF37" s="345"/>
      <c r="AG37" s="345"/>
      <c r="AH37" s="345">
        <f t="shared" si="14"/>
        <v>0.16</v>
      </c>
      <c r="AI37" s="345"/>
      <c r="AJ37" s="347"/>
      <c r="AK37" s="346">
        <v>0.85</v>
      </c>
      <c r="AL37" s="346"/>
      <c r="AM37" s="346"/>
      <c r="AN37" s="347">
        <f t="shared" si="8"/>
        <v>0.85</v>
      </c>
      <c r="AO37" s="346"/>
      <c r="AP37" s="346"/>
      <c r="AQ37" s="348">
        <f t="shared" si="10"/>
        <v>0.85</v>
      </c>
      <c r="AR37" s="340"/>
    </row>
    <row r="38" spans="1:44" s="289" customFormat="1" ht="15">
      <c r="A38" s="341" t="s">
        <v>105</v>
      </c>
      <c r="B38" s="342" t="s">
        <v>106</v>
      </c>
      <c r="C38" s="343">
        <v>0.16</v>
      </c>
      <c r="D38" s="343"/>
      <c r="E38" s="344"/>
      <c r="F38" s="345"/>
      <c r="G38" s="345"/>
      <c r="H38" s="345"/>
      <c r="I38" s="345">
        <f t="shared" si="11"/>
        <v>0.16</v>
      </c>
      <c r="J38" s="345"/>
      <c r="K38" s="345">
        <v>0.25</v>
      </c>
      <c r="L38" s="345"/>
      <c r="M38" s="345"/>
      <c r="N38" s="345"/>
      <c r="O38" s="345"/>
      <c r="P38" s="345"/>
      <c r="Q38" s="345">
        <f t="shared" si="12"/>
        <v>0.25</v>
      </c>
      <c r="R38" s="345"/>
      <c r="S38" s="345">
        <f t="shared" si="9"/>
        <v>0.7203389830508474</v>
      </c>
      <c r="T38" s="343"/>
      <c r="U38" s="344"/>
      <c r="V38" s="345">
        <v>0.16</v>
      </c>
      <c r="W38" s="345"/>
      <c r="X38" s="344"/>
      <c r="Y38" s="344"/>
      <c r="Z38" s="343"/>
      <c r="AA38" s="345"/>
      <c r="AB38" s="345">
        <f t="shared" si="13"/>
        <v>0.16</v>
      </c>
      <c r="AC38" s="345"/>
      <c r="AD38" s="344"/>
      <c r="AE38" s="345"/>
      <c r="AF38" s="345"/>
      <c r="AG38" s="345"/>
      <c r="AH38" s="345">
        <f t="shared" si="14"/>
        <v>0.16</v>
      </c>
      <c r="AI38" s="345"/>
      <c r="AJ38" s="347"/>
      <c r="AK38" s="346">
        <v>0.85</v>
      </c>
      <c r="AL38" s="346"/>
      <c r="AM38" s="346"/>
      <c r="AN38" s="347">
        <f t="shared" si="8"/>
        <v>0.85</v>
      </c>
      <c r="AO38" s="346"/>
      <c r="AP38" s="346"/>
      <c r="AQ38" s="348">
        <f t="shared" si="10"/>
        <v>0.85</v>
      </c>
      <c r="AR38" s="340"/>
    </row>
    <row r="39" spans="1:44" s="289" customFormat="1" ht="15">
      <c r="A39" s="341" t="s">
        <v>107</v>
      </c>
      <c r="B39" s="342" t="s">
        <v>108</v>
      </c>
      <c r="C39" s="343">
        <v>0.25</v>
      </c>
      <c r="D39" s="343"/>
      <c r="E39" s="344"/>
      <c r="F39" s="345"/>
      <c r="G39" s="345"/>
      <c r="H39" s="345"/>
      <c r="I39" s="345">
        <f t="shared" si="11"/>
        <v>0.25</v>
      </c>
      <c r="J39" s="345"/>
      <c r="K39" s="345">
        <v>0.25</v>
      </c>
      <c r="L39" s="345"/>
      <c r="M39" s="345"/>
      <c r="N39" s="345"/>
      <c r="O39" s="345"/>
      <c r="P39" s="345"/>
      <c r="Q39" s="345">
        <f t="shared" si="12"/>
        <v>0.25</v>
      </c>
      <c r="R39" s="345"/>
      <c r="S39" s="345">
        <f t="shared" si="9"/>
        <v>0.4322033898305085</v>
      </c>
      <c r="T39" s="343">
        <v>0.25</v>
      </c>
      <c r="U39" s="344"/>
      <c r="V39" s="345"/>
      <c r="W39" s="345"/>
      <c r="X39" s="344"/>
      <c r="Y39" s="344"/>
      <c r="Z39" s="343"/>
      <c r="AA39" s="345"/>
      <c r="AB39" s="345">
        <f t="shared" si="13"/>
        <v>0.25</v>
      </c>
      <c r="AC39" s="345"/>
      <c r="AD39" s="344"/>
      <c r="AE39" s="345"/>
      <c r="AF39" s="345"/>
      <c r="AG39" s="345"/>
      <c r="AH39" s="345">
        <f t="shared" si="14"/>
        <v>0.25</v>
      </c>
      <c r="AI39" s="345"/>
      <c r="AJ39" s="347">
        <v>0.51</v>
      </c>
      <c r="AK39" s="346"/>
      <c r="AL39" s="346"/>
      <c r="AM39" s="346"/>
      <c r="AN39" s="347">
        <f t="shared" si="8"/>
        <v>0.51</v>
      </c>
      <c r="AO39" s="346"/>
      <c r="AP39" s="346"/>
      <c r="AQ39" s="348">
        <f t="shared" si="10"/>
        <v>0.51</v>
      </c>
      <c r="AR39" s="340"/>
    </row>
    <row r="40" spans="1:44" s="289" customFormat="1" ht="15">
      <c r="A40" s="341" t="s">
        <v>109</v>
      </c>
      <c r="B40" s="342" t="s">
        <v>110</v>
      </c>
      <c r="C40" s="343">
        <v>0.25</v>
      </c>
      <c r="D40" s="343"/>
      <c r="E40" s="344"/>
      <c r="F40" s="345"/>
      <c r="G40" s="345"/>
      <c r="H40" s="345"/>
      <c r="I40" s="345">
        <f t="shared" si="11"/>
        <v>0.25</v>
      </c>
      <c r="J40" s="345"/>
      <c r="K40" s="345">
        <v>0.25</v>
      </c>
      <c r="L40" s="345"/>
      <c r="M40" s="345"/>
      <c r="N40" s="345"/>
      <c r="O40" s="345"/>
      <c r="P40" s="345"/>
      <c r="Q40" s="345">
        <f t="shared" si="12"/>
        <v>0.25</v>
      </c>
      <c r="R40" s="345"/>
      <c r="S40" s="345">
        <f t="shared" si="9"/>
        <v>0.4322033898305085</v>
      </c>
      <c r="T40" s="343">
        <v>0.25</v>
      </c>
      <c r="U40" s="344"/>
      <c r="V40" s="345"/>
      <c r="W40" s="345"/>
      <c r="X40" s="344"/>
      <c r="Y40" s="344"/>
      <c r="Z40" s="343"/>
      <c r="AA40" s="345"/>
      <c r="AB40" s="345">
        <f t="shared" si="13"/>
        <v>0.25</v>
      </c>
      <c r="AC40" s="345"/>
      <c r="AD40" s="344"/>
      <c r="AE40" s="345"/>
      <c r="AF40" s="345"/>
      <c r="AG40" s="345"/>
      <c r="AH40" s="345">
        <f t="shared" si="14"/>
        <v>0.25</v>
      </c>
      <c r="AI40" s="345"/>
      <c r="AJ40" s="347">
        <v>0.51</v>
      </c>
      <c r="AK40" s="346"/>
      <c r="AL40" s="346"/>
      <c r="AM40" s="346"/>
      <c r="AN40" s="347">
        <f t="shared" si="8"/>
        <v>0.51</v>
      </c>
      <c r="AO40" s="346"/>
      <c r="AP40" s="346"/>
      <c r="AQ40" s="348">
        <f t="shared" si="10"/>
        <v>0.51</v>
      </c>
      <c r="AR40" s="340"/>
    </row>
    <row r="41" spans="1:44" s="289" customFormat="1" ht="15">
      <c r="A41" s="341" t="s">
        <v>111</v>
      </c>
      <c r="B41" s="351" t="s">
        <v>112</v>
      </c>
      <c r="C41" s="343">
        <v>0.25</v>
      </c>
      <c r="D41" s="343"/>
      <c r="E41" s="344"/>
      <c r="F41" s="345"/>
      <c r="G41" s="345"/>
      <c r="H41" s="345"/>
      <c r="I41" s="345">
        <f t="shared" si="11"/>
        <v>0.25</v>
      </c>
      <c r="J41" s="345"/>
      <c r="K41" s="345">
        <v>0.25</v>
      </c>
      <c r="L41" s="345"/>
      <c r="M41" s="345"/>
      <c r="N41" s="345"/>
      <c r="O41" s="345"/>
      <c r="P41" s="345"/>
      <c r="Q41" s="345">
        <f t="shared" si="12"/>
        <v>0.25</v>
      </c>
      <c r="R41" s="345"/>
      <c r="S41" s="345">
        <f t="shared" si="9"/>
        <v>0.4322033898305085</v>
      </c>
      <c r="T41" s="343"/>
      <c r="U41" s="344"/>
      <c r="V41" s="345">
        <v>0.25</v>
      </c>
      <c r="W41" s="345"/>
      <c r="X41" s="344"/>
      <c r="Y41" s="344"/>
      <c r="Z41" s="343"/>
      <c r="AA41" s="345"/>
      <c r="AB41" s="345">
        <f t="shared" si="13"/>
        <v>0.25</v>
      </c>
      <c r="AC41" s="345"/>
      <c r="AD41" s="344"/>
      <c r="AE41" s="345"/>
      <c r="AF41" s="345"/>
      <c r="AG41" s="345"/>
      <c r="AH41" s="345">
        <f t="shared" si="14"/>
        <v>0.25</v>
      </c>
      <c r="AI41" s="345"/>
      <c r="AJ41" s="347"/>
      <c r="AK41" s="346">
        <v>0.51</v>
      </c>
      <c r="AL41" s="346"/>
      <c r="AM41" s="346"/>
      <c r="AN41" s="347">
        <f t="shared" si="8"/>
        <v>0.51</v>
      </c>
      <c r="AO41" s="346"/>
      <c r="AP41" s="346"/>
      <c r="AQ41" s="348">
        <f t="shared" si="10"/>
        <v>0.51</v>
      </c>
      <c r="AR41" s="340"/>
    </row>
    <row r="42" spans="1:44" s="289" customFormat="1" ht="15">
      <c r="A42" s="341" t="s">
        <v>113</v>
      </c>
      <c r="B42" s="351" t="s">
        <v>114</v>
      </c>
      <c r="C42" s="343">
        <v>0.5</v>
      </c>
      <c r="D42" s="343"/>
      <c r="E42" s="344"/>
      <c r="F42" s="345"/>
      <c r="G42" s="345"/>
      <c r="H42" s="345"/>
      <c r="I42" s="345">
        <f t="shared" si="11"/>
        <v>0.5</v>
      </c>
      <c r="J42" s="345"/>
      <c r="K42" s="345">
        <v>1.26</v>
      </c>
      <c r="L42" s="345"/>
      <c r="M42" s="345"/>
      <c r="N42" s="345"/>
      <c r="O42" s="345"/>
      <c r="P42" s="345"/>
      <c r="Q42" s="345">
        <f t="shared" si="12"/>
        <v>1.26</v>
      </c>
      <c r="R42" s="345"/>
      <c r="S42" s="345">
        <f t="shared" si="9"/>
        <v>0.9406779661016951</v>
      </c>
      <c r="T42" s="343"/>
      <c r="U42" s="344"/>
      <c r="V42" s="345">
        <v>0.5</v>
      </c>
      <c r="W42" s="345"/>
      <c r="X42" s="344"/>
      <c r="Y42" s="344"/>
      <c r="Z42" s="343"/>
      <c r="AA42" s="345"/>
      <c r="AB42" s="345">
        <f t="shared" si="13"/>
        <v>0.5</v>
      </c>
      <c r="AC42" s="345"/>
      <c r="AD42" s="344"/>
      <c r="AE42" s="345"/>
      <c r="AF42" s="345"/>
      <c r="AG42" s="345"/>
      <c r="AH42" s="345">
        <f t="shared" si="14"/>
        <v>0.5</v>
      </c>
      <c r="AI42" s="345"/>
      <c r="AJ42" s="347"/>
      <c r="AK42" s="346">
        <v>1.11</v>
      </c>
      <c r="AL42" s="346"/>
      <c r="AM42" s="346"/>
      <c r="AN42" s="347">
        <f t="shared" si="8"/>
        <v>1.11</v>
      </c>
      <c r="AO42" s="346"/>
      <c r="AP42" s="346"/>
      <c r="AQ42" s="348">
        <f t="shared" si="10"/>
        <v>1.11</v>
      </c>
      <c r="AR42" s="340"/>
    </row>
    <row r="43" spans="1:44" s="289" customFormat="1" ht="15">
      <c r="A43" s="341" t="s">
        <v>115</v>
      </c>
      <c r="B43" s="342" t="s">
        <v>116</v>
      </c>
      <c r="C43" s="343">
        <v>0.16</v>
      </c>
      <c r="D43" s="343"/>
      <c r="E43" s="344"/>
      <c r="F43" s="345"/>
      <c r="G43" s="345"/>
      <c r="H43" s="345"/>
      <c r="I43" s="345">
        <f t="shared" si="11"/>
        <v>0.16</v>
      </c>
      <c r="J43" s="345"/>
      <c r="K43" s="345">
        <v>0.16</v>
      </c>
      <c r="L43" s="345"/>
      <c r="M43" s="345"/>
      <c r="N43" s="345"/>
      <c r="O43" s="345"/>
      <c r="P43" s="345"/>
      <c r="Q43" s="345">
        <f t="shared" si="12"/>
        <v>0.16</v>
      </c>
      <c r="R43" s="345"/>
      <c r="S43" s="345">
        <f t="shared" si="9"/>
        <v>0.4322033898305085</v>
      </c>
      <c r="T43" s="343"/>
      <c r="U43" s="344"/>
      <c r="V43" s="345">
        <v>0.16</v>
      </c>
      <c r="W43" s="345"/>
      <c r="X43" s="344"/>
      <c r="Y43" s="344"/>
      <c r="Z43" s="343"/>
      <c r="AA43" s="345"/>
      <c r="AB43" s="345">
        <f t="shared" si="13"/>
        <v>0.16</v>
      </c>
      <c r="AC43" s="345"/>
      <c r="AD43" s="344"/>
      <c r="AE43" s="345"/>
      <c r="AF43" s="345"/>
      <c r="AG43" s="345"/>
      <c r="AH43" s="345">
        <f t="shared" si="14"/>
        <v>0.16</v>
      </c>
      <c r="AI43" s="345"/>
      <c r="AJ43" s="347"/>
      <c r="AK43" s="346">
        <v>0.51</v>
      </c>
      <c r="AL43" s="346"/>
      <c r="AM43" s="346"/>
      <c r="AN43" s="347">
        <f t="shared" si="8"/>
        <v>0.51</v>
      </c>
      <c r="AO43" s="346"/>
      <c r="AP43" s="346"/>
      <c r="AQ43" s="348">
        <f t="shared" si="10"/>
        <v>0.51</v>
      </c>
      <c r="AR43" s="340"/>
    </row>
    <row r="44" spans="1:44" s="289" customFormat="1" ht="15">
      <c r="A44" s="341" t="s">
        <v>117</v>
      </c>
      <c r="B44" s="355" t="s">
        <v>118</v>
      </c>
      <c r="C44" s="343">
        <v>1.26</v>
      </c>
      <c r="D44" s="343"/>
      <c r="E44" s="344"/>
      <c r="F44" s="345"/>
      <c r="G44" s="345"/>
      <c r="H44" s="345"/>
      <c r="I44" s="345">
        <f t="shared" si="11"/>
        <v>1.26</v>
      </c>
      <c r="J44" s="345"/>
      <c r="K44" s="343">
        <v>1.26</v>
      </c>
      <c r="L44" s="345"/>
      <c r="M44" s="345"/>
      <c r="N44" s="345"/>
      <c r="O44" s="345"/>
      <c r="P44" s="345"/>
      <c r="Q44" s="345">
        <f t="shared" si="12"/>
        <v>1.26</v>
      </c>
      <c r="R44" s="345"/>
      <c r="S44" s="345">
        <f t="shared" si="9"/>
        <v>1.2033898305084745</v>
      </c>
      <c r="T44" s="344"/>
      <c r="U44" s="344"/>
      <c r="V44" s="345">
        <v>1.26</v>
      </c>
      <c r="W44" s="345"/>
      <c r="X44" s="344"/>
      <c r="Y44" s="344"/>
      <c r="Z44" s="343"/>
      <c r="AA44" s="345"/>
      <c r="AB44" s="345">
        <f t="shared" si="13"/>
        <v>1.26</v>
      </c>
      <c r="AC44" s="345"/>
      <c r="AD44" s="344"/>
      <c r="AE44" s="345"/>
      <c r="AF44" s="345"/>
      <c r="AG44" s="345"/>
      <c r="AH44" s="345">
        <f t="shared" si="14"/>
        <v>1.26</v>
      </c>
      <c r="AI44" s="345"/>
      <c r="AJ44" s="346"/>
      <c r="AK44" s="346">
        <v>1.42</v>
      </c>
      <c r="AL44" s="346"/>
      <c r="AM44" s="347"/>
      <c r="AN44" s="347">
        <f t="shared" si="8"/>
        <v>1.42</v>
      </c>
      <c r="AO44" s="346"/>
      <c r="AP44" s="346"/>
      <c r="AQ44" s="348">
        <f t="shared" si="10"/>
        <v>1.42</v>
      </c>
      <c r="AR44" s="340"/>
    </row>
    <row r="45" spans="1:44" s="289" customFormat="1" ht="15">
      <c r="A45" s="341" t="s">
        <v>119</v>
      </c>
      <c r="B45" s="355" t="s">
        <v>120</v>
      </c>
      <c r="C45" s="343">
        <v>0.8</v>
      </c>
      <c r="D45" s="343"/>
      <c r="E45" s="344"/>
      <c r="F45" s="345"/>
      <c r="G45" s="345"/>
      <c r="H45" s="345"/>
      <c r="I45" s="345">
        <f t="shared" si="11"/>
        <v>0.8</v>
      </c>
      <c r="J45" s="345"/>
      <c r="K45" s="343">
        <v>0.8</v>
      </c>
      <c r="L45" s="345"/>
      <c r="M45" s="345"/>
      <c r="N45" s="345"/>
      <c r="O45" s="345"/>
      <c r="P45" s="345"/>
      <c r="Q45" s="345">
        <f t="shared" si="12"/>
        <v>0.8</v>
      </c>
      <c r="R45" s="345"/>
      <c r="S45" s="345">
        <f t="shared" si="9"/>
        <v>1.033898305084746</v>
      </c>
      <c r="T45" s="344"/>
      <c r="U45" s="344"/>
      <c r="V45" s="345">
        <v>0.8</v>
      </c>
      <c r="W45" s="345"/>
      <c r="X45" s="344"/>
      <c r="Y45" s="344"/>
      <c r="Z45" s="343"/>
      <c r="AA45" s="345"/>
      <c r="AB45" s="345">
        <f t="shared" si="13"/>
        <v>0.8</v>
      </c>
      <c r="AC45" s="345"/>
      <c r="AD45" s="344"/>
      <c r="AE45" s="345"/>
      <c r="AF45" s="345"/>
      <c r="AG45" s="345"/>
      <c r="AH45" s="345">
        <f t="shared" si="14"/>
        <v>0.8</v>
      </c>
      <c r="AI45" s="345"/>
      <c r="AJ45" s="346"/>
      <c r="AK45" s="346">
        <v>1.22</v>
      </c>
      <c r="AL45" s="346"/>
      <c r="AM45" s="347"/>
      <c r="AN45" s="347">
        <f t="shared" si="8"/>
        <v>1.22</v>
      </c>
      <c r="AO45" s="346"/>
      <c r="AP45" s="346"/>
      <c r="AQ45" s="348">
        <f t="shared" si="10"/>
        <v>1.22</v>
      </c>
      <c r="AR45" s="340"/>
    </row>
    <row r="46" spans="1:44" s="289" customFormat="1" ht="15">
      <c r="A46" s="341" t="s">
        <v>121</v>
      </c>
      <c r="B46" s="342" t="s">
        <v>122</v>
      </c>
      <c r="C46" s="343">
        <v>8</v>
      </c>
      <c r="D46" s="343"/>
      <c r="E46" s="344"/>
      <c r="F46" s="345"/>
      <c r="G46" s="345"/>
      <c r="H46" s="345"/>
      <c r="I46" s="345">
        <f t="shared" si="11"/>
        <v>8</v>
      </c>
      <c r="J46" s="345"/>
      <c r="K46" s="345">
        <v>8</v>
      </c>
      <c r="L46" s="345"/>
      <c r="M46" s="345"/>
      <c r="N46" s="345"/>
      <c r="O46" s="345"/>
      <c r="P46" s="345"/>
      <c r="Q46" s="345">
        <f t="shared" si="12"/>
        <v>8</v>
      </c>
      <c r="R46" s="345"/>
      <c r="S46" s="345">
        <f t="shared" si="9"/>
        <v>2.6779661016949157</v>
      </c>
      <c r="T46" s="343">
        <v>8</v>
      </c>
      <c r="U46" s="344"/>
      <c r="V46" s="345"/>
      <c r="W46" s="345"/>
      <c r="X46" s="344"/>
      <c r="Y46" s="344"/>
      <c r="Z46" s="343"/>
      <c r="AA46" s="345"/>
      <c r="AB46" s="345">
        <f t="shared" si="13"/>
        <v>8</v>
      </c>
      <c r="AC46" s="345"/>
      <c r="AD46" s="344"/>
      <c r="AE46" s="345"/>
      <c r="AF46" s="345"/>
      <c r="AG46" s="345"/>
      <c r="AH46" s="345">
        <f t="shared" si="14"/>
        <v>8</v>
      </c>
      <c r="AI46" s="345"/>
      <c r="AJ46" s="347">
        <v>3.16</v>
      </c>
      <c r="AK46" s="346"/>
      <c r="AL46" s="346"/>
      <c r="AM46" s="346"/>
      <c r="AN46" s="347">
        <f t="shared" si="8"/>
        <v>3.16</v>
      </c>
      <c r="AO46" s="346"/>
      <c r="AP46" s="346"/>
      <c r="AQ46" s="348">
        <f t="shared" si="10"/>
        <v>3.16</v>
      </c>
      <c r="AR46" s="340"/>
    </row>
    <row r="47" spans="1:44" s="289" customFormat="1" ht="15">
      <c r="A47" s="341" t="s">
        <v>123</v>
      </c>
      <c r="B47" s="355" t="s">
        <v>463</v>
      </c>
      <c r="C47" s="343">
        <v>12.6</v>
      </c>
      <c r="D47" s="343"/>
      <c r="E47" s="344"/>
      <c r="F47" s="345"/>
      <c r="G47" s="345"/>
      <c r="H47" s="345"/>
      <c r="I47" s="345">
        <f t="shared" si="11"/>
        <v>12.6</v>
      </c>
      <c r="J47" s="345"/>
      <c r="K47" s="343">
        <v>12.6</v>
      </c>
      <c r="L47" s="345"/>
      <c r="M47" s="345"/>
      <c r="N47" s="345"/>
      <c r="O47" s="345"/>
      <c r="P47" s="345"/>
      <c r="Q47" s="345">
        <f t="shared" si="12"/>
        <v>12.6</v>
      </c>
      <c r="R47" s="345"/>
      <c r="S47" s="345">
        <f t="shared" si="9"/>
        <v>3.9237288135593222</v>
      </c>
      <c r="T47" s="344">
        <v>12.6</v>
      </c>
      <c r="U47" s="344"/>
      <c r="V47" s="345"/>
      <c r="W47" s="345"/>
      <c r="X47" s="344"/>
      <c r="Y47" s="344"/>
      <c r="Z47" s="343"/>
      <c r="AA47" s="345"/>
      <c r="AB47" s="345">
        <f t="shared" si="13"/>
        <v>12.6</v>
      </c>
      <c r="AC47" s="345"/>
      <c r="AD47" s="344"/>
      <c r="AE47" s="345"/>
      <c r="AF47" s="345"/>
      <c r="AG47" s="345"/>
      <c r="AH47" s="345">
        <f t="shared" si="14"/>
        <v>12.6</v>
      </c>
      <c r="AI47" s="345"/>
      <c r="AJ47" s="346">
        <v>4.63</v>
      </c>
      <c r="AK47" s="346"/>
      <c r="AL47" s="346"/>
      <c r="AM47" s="347"/>
      <c r="AN47" s="347">
        <f t="shared" si="8"/>
        <v>4.63</v>
      </c>
      <c r="AO47" s="346"/>
      <c r="AP47" s="346"/>
      <c r="AQ47" s="348">
        <f t="shared" si="10"/>
        <v>4.63</v>
      </c>
      <c r="AR47" s="340"/>
    </row>
    <row r="48" spans="1:44" s="289" customFormat="1" ht="15">
      <c r="A48" s="341" t="s">
        <v>125</v>
      </c>
      <c r="B48" s="355" t="s">
        <v>464</v>
      </c>
      <c r="C48" s="343">
        <v>7.9</v>
      </c>
      <c r="D48" s="343"/>
      <c r="E48" s="344"/>
      <c r="F48" s="345"/>
      <c r="G48" s="345"/>
      <c r="H48" s="345"/>
      <c r="I48" s="345">
        <f t="shared" si="11"/>
        <v>7.9</v>
      </c>
      <c r="J48" s="345"/>
      <c r="K48" s="343">
        <v>7.9</v>
      </c>
      <c r="L48" s="345"/>
      <c r="M48" s="345"/>
      <c r="N48" s="345"/>
      <c r="O48" s="345"/>
      <c r="P48" s="345"/>
      <c r="Q48" s="345">
        <f t="shared" si="12"/>
        <v>7.9</v>
      </c>
      <c r="R48" s="345"/>
      <c r="S48" s="345">
        <f t="shared" si="9"/>
        <v>3.3898305084745766</v>
      </c>
      <c r="T48" s="344">
        <v>7.9</v>
      </c>
      <c r="U48" s="344"/>
      <c r="V48" s="345"/>
      <c r="W48" s="345"/>
      <c r="X48" s="344"/>
      <c r="Y48" s="344"/>
      <c r="Z48" s="343"/>
      <c r="AA48" s="345"/>
      <c r="AB48" s="345">
        <f t="shared" si="13"/>
        <v>7.9</v>
      </c>
      <c r="AC48" s="345"/>
      <c r="AD48" s="344"/>
      <c r="AE48" s="345"/>
      <c r="AF48" s="345"/>
      <c r="AG48" s="345"/>
      <c r="AH48" s="345">
        <f t="shared" si="14"/>
        <v>7.9</v>
      </c>
      <c r="AI48" s="345"/>
      <c r="AJ48" s="346">
        <v>4</v>
      </c>
      <c r="AK48" s="346"/>
      <c r="AL48" s="346"/>
      <c r="AM48" s="347"/>
      <c r="AN48" s="347">
        <f t="shared" si="8"/>
        <v>4</v>
      </c>
      <c r="AO48" s="346"/>
      <c r="AP48" s="346"/>
      <c r="AQ48" s="348">
        <f t="shared" si="10"/>
        <v>4</v>
      </c>
      <c r="AR48" s="340"/>
    </row>
    <row r="49" spans="1:44" s="289" customFormat="1" ht="15">
      <c r="A49" s="341" t="s">
        <v>127</v>
      </c>
      <c r="B49" s="342" t="s">
        <v>128</v>
      </c>
      <c r="C49" s="343">
        <v>12.6</v>
      </c>
      <c r="D49" s="343"/>
      <c r="E49" s="344"/>
      <c r="F49" s="345"/>
      <c r="G49" s="345"/>
      <c r="H49" s="345"/>
      <c r="I49" s="345">
        <f t="shared" si="11"/>
        <v>12.6</v>
      </c>
      <c r="J49" s="345"/>
      <c r="K49" s="345">
        <v>12.6</v>
      </c>
      <c r="L49" s="345"/>
      <c r="M49" s="345"/>
      <c r="N49" s="345"/>
      <c r="O49" s="345"/>
      <c r="P49" s="345"/>
      <c r="Q49" s="345">
        <f t="shared" si="12"/>
        <v>12.6</v>
      </c>
      <c r="R49" s="345"/>
      <c r="S49" s="345">
        <f t="shared" si="9"/>
        <v>29.047457627118643</v>
      </c>
      <c r="T49" s="343">
        <v>0</v>
      </c>
      <c r="U49" s="344"/>
      <c r="V49" s="345"/>
      <c r="W49" s="345"/>
      <c r="X49" s="344"/>
      <c r="Y49" s="344"/>
      <c r="Z49" s="343">
        <v>12.6</v>
      </c>
      <c r="AA49" s="345"/>
      <c r="AB49" s="345">
        <f t="shared" si="13"/>
        <v>12.6</v>
      </c>
      <c r="AC49" s="345"/>
      <c r="AD49" s="344"/>
      <c r="AE49" s="345"/>
      <c r="AF49" s="345"/>
      <c r="AG49" s="345"/>
      <c r="AH49" s="345">
        <f t="shared" si="14"/>
        <v>12.6</v>
      </c>
      <c r="AI49" s="345"/>
      <c r="AJ49" s="346"/>
      <c r="AK49" s="346"/>
      <c r="AL49" s="346"/>
      <c r="AM49" s="346">
        <v>16.99</v>
      </c>
      <c r="AN49" s="347">
        <f t="shared" si="8"/>
        <v>16.99</v>
      </c>
      <c r="AO49" s="346"/>
      <c r="AP49" s="347">
        <v>17.286</v>
      </c>
      <c r="AQ49" s="348">
        <f t="shared" si="10"/>
        <v>34.275999999999996</v>
      </c>
      <c r="AR49" s="340"/>
    </row>
    <row r="50" spans="1:44" s="354" customFormat="1" ht="15">
      <c r="A50" s="341" t="s">
        <v>129</v>
      </c>
      <c r="B50" s="356" t="s">
        <v>130</v>
      </c>
      <c r="C50" s="343">
        <v>1.26</v>
      </c>
      <c r="D50" s="347"/>
      <c r="E50" s="343"/>
      <c r="F50" s="343"/>
      <c r="G50" s="344"/>
      <c r="H50" s="347"/>
      <c r="I50" s="345">
        <f t="shared" si="11"/>
        <v>1.26</v>
      </c>
      <c r="J50" s="353"/>
      <c r="K50" s="347">
        <v>1.26</v>
      </c>
      <c r="L50" s="343"/>
      <c r="M50" s="343"/>
      <c r="N50" s="343"/>
      <c r="O50" s="343"/>
      <c r="P50" s="347"/>
      <c r="Q50" s="345">
        <f t="shared" si="12"/>
        <v>1.26</v>
      </c>
      <c r="R50" s="345"/>
      <c r="S50" s="345">
        <f t="shared" si="9"/>
        <v>11.384745762711866</v>
      </c>
      <c r="T50" s="343">
        <v>1.26</v>
      </c>
      <c r="U50" s="343"/>
      <c r="V50" s="343"/>
      <c r="W50" s="343"/>
      <c r="X50" s="343"/>
      <c r="Y50" s="347"/>
      <c r="Z50" s="347"/>
      <c r="AA50" s="343"/>
      <c r="AB50" s="345">
        <f t="shared" si="13"/>
        <v>1.26</v>
      </c>
      <c r="AC50" s="353"/>
      <c r="AD50" s="353"/>
      <c r="AE50" s="343"/>
      <c r="AF50" s="353"/>
      <c r="AG50" s="353"/>
      <c r="AH50" s="345">
        <f t="shared" si="14"/>
        <v>1.26</v>
      </c>
      <c r="AI50" s="353"/>
      <c r="AJ50" s="343">
        <v>4.46</v>
      </c>
      <c r="AK50" s="343"/>
      <c r="AL50" s="343"/>
      <c r="AM50" s="343"/>
      <c r="AN50" s="347">
        <f t="shared" si="8"/>
        <v>4.46</v>
      </c>
      <c r="AO50" s="343"/>
      <c r="AP50" s="347">
        <v>8.974</v>
      </c>
      <c r="AQ50" s="348">
        <f t="shared" si="10"/>
        <v>13.434000000000001</v>
      </c>
      <c r="AR50" s="340"/>
    </row>
    <row r="51" spans="1:44" s="354" customFormat="1" ht="15">
      <c r="A51" s="341" t="s">
        <v>131</v>
      </c>
      <c r="B51" s="356" t="s">
        <v>132</v>
      </c>
      <c r="C51" s="343">
        <v>0</v>
      </c>
      <c r="D51" s="347"/>
      <c r="E51" s="343"/>
      <c r="F51" s="343"/>
      <c r="G51" s="344"/>
      <c r="H51" s="347"/>
      <c r="I51" s="345">
        <f t="shared" si="11"/>
        <v>0</v>
      </c>
      <c r="J51" s="353"/>
      <c r="K51" s="347">
        <v>0</v>
      </c>
      <c r="L51" s="343"/>
      <c r="M51" s="343"/>
      <c r="N51" s="343"/>
      <c r="O51" s="343"/>
      <c r="P51" s="347"/>
      <c r="Q51" s="345">
        <f t="shared" si="12"/>
        <v>0</v>
      </c>
      <c r="R51" s="345"/>
      <c r="S51" s="345">
        <f t="shared" si="9"/>
        <v>1.5508474576271187</v>
      </c>
      <c r="T51" s="343"/>
      <c r="U51" s="343"/>
      <c r="V51" s="343">
        <v>0</v>
      </c>
      <c r="W51" s="343"/>
      <c r="X51" s="343"/>
      <c r="Y51" s="347"/>
      <c r="Z51" s="347"/>
      <c r="AA51" s="343"/>
      <c r="AB51" s="345">
        <f t="shared" si="13"/>
        <v>0</v>
      </c>
      <c r="AC51" s="353"/>
      <c r="AD51" s="353"/>
      <c r="AE51" s="343"/>
      <c r="AF51" s="353"/>
      <c r="AG51" s="353"/>
      <c r="AH51" s="345">
        <f t="shared" si="14"/>
        <v>0</v>
      </c>
      <c r="AI51" s="353"/>
      <c r="AJ51" s="343"/>
      <c r="AK51" s="343">
        <v>1.83</v>
      </c>
      <c r="AL51" s="343"/>
      <c r="AM51" s="343"/>
      <c r="AN51" s="347">
        <f t="shared" si="8"/>
        <v>1.83</v>
      </c>
      <c r="AO51" s="343"/>
      <c r="AP51" s="347"/>
      <c r="AQ51" s="348">
        <f t="shared" si="10"/>
        <v>1.83</v>
      </c>
      <c r="AR51" s="340"/>
    </row>
    <row r="52" spans="1:44" s="354" customFormat="1" ht="15">
      <c r="A52" s="341" t="s">
        <v>133</v>
      </c>
      <c r="B52" s="357" t="s">
        <v>134</v>
      </c>
      <c r="C52" s="343"/>
      <c r="D52" s="347"/>
      <c r="E52" s="347"/>
      <c r="F52" s="347">
        <v>0.89</v>
      </c>
      <c r="G52" s="347"/>
      <c r="H52" s="353"/>
      <c r="I52" s="353"/>
      <c r="J52" s="353">
        <f aca="true" t="shared" si="15" ref="J52:J72">C52+D52+E52+F52+G52+H52</f>
        <v>0.89</v>
      </c>
      <c r="K52" s="353"/>
      <c r="L52" s="353"/>
      <c r="M52" s="353"/>
      <c r="N52" s="353">
        <f aca="true" t="shared" si="16" ref="N52:N69">F52</f>
        <v>0.89</v>
      </c>
      <c r="O52" s="353"/>
      <c r="P52" s="353"/>
      <c r="Q52" s="353"/>
      <c r="R52" s="345">
        <f aca="true" t="shared" si="17" ref="R52:R72">K52+L52+M52+N52+O52+P52</f>
        <v>0.89</v>
      </c>
      <c r="S52" s="345">
        <f t="shared" si="9"/>
        <v>1.0593220338983051</v>
      </c>
      <c r="T52" s="353"/>
      <c r="U52" s="353"/>
      <c r="V52" s="353"/>
      <c r="W52" s="353"/>
      <c r="X52" s="353"/>
      <c r="Y52" s="347"/>
      <c r="Z52" s="347"/>
      <c r="AA52" s="353"/>
      <c r="AB52" s="353"/>
      <c r="AC52" s="345">
        <f aca="true" t="shared" si="18" ref="AC52:AC72">AA52+Z52+Y52+X52+W52+V52+U52+T52</f>
        <v>0</v>
      </c>
      <c r="AD52" s="353"/>
      <c r="AE52" s="353">
        <f aca="true" t="shared" si="19" ref="AE52:AE57">F52</f>
        <v>0.89</v>
      </c>
      <c r="AF52" s="353"/>
      <c r="AG52" s="353"/>
      <c r="AH52" s="345"/>
      <c r="AI52" s="353">
        <f aca="true" t="shared" si="20" ref="AI52:AI57">AE52</f>
        <v>0.89</v>
      </c>
      <c r="AJ52" s="343"/>
      <c r="AK52" s="343"/>
      <c r="AL52" s="343"/>
      <c r="AM52" s="343"/>
      <c r="AN52" s="347">
        <f t="shared" si="8"/>
        <v>0</v>
      </c>
      <c r="AO52" s="347">
        <v>1.25</v>
      </c>
      <c r="AP52" s="343"/>
      <c r="AQ52" s="348">
        <f t="shared" si="10"/>
        <v>1.25</v>
      </c>
      <c r="AR52" s="340"/>
    </row>
    <row r="53" spans="1:44" s="354" customFormat="1" ht="15">
      <c r="A53" s="341" t="s">
        <v>135</v>
      </c>
      <c r="B53" s="357" t="s">
        <v>136</v>
      </c>
      <c r="C53" s="343"/>
      <c r="D53" s="347"/>
      <c r="E53" s="347"/>
      <c r="F53" s="347">
        <v>3.14</v>
      </c>
      <c r="G53" s="347"/>
      <c r="H53" s="353"/>
      <c r="I53" s="353"/>
      <c r="J53" s="353">
        <f t="shared" si="15"/>
        <v>3.14</v>
      </c>
      <c r="K53" s="353"/>
      <c r="L53" s="353"/>
      <c r="M53" s="353"/>
      <c r="N53" s="353">
        <f t="shared" si="16"/>
        <v>3.14</v>
      </c>
      <c r="O53" s="353"/>
      <c r="P53" s="353"/>
      <c r="Q53" s="353"/>
      <c r="R53" s="345">
        <f t="shared" si="17"/>
        <v>3.14</v>
      </c>
      <c r="S53" s="345">
        <f t="shared" si="9"/>
        <v>0.9915254237288136</v>
      </c>
      <c r="T53" s="353"/>
      <c r="U53" s="353"/>
      <c r="V53" s="353"/>
      <c r="W53" s="353"/>
      <c r="X53" s="353"/>
      <c r="Y53" s="347"/>
      <c r="Z53" s="347"/>
      <c r="AA53" s="353"/>
      <c r="AB53" s="353"/>
      <c r="AC53" s="345">
        <f t="shared" si="18"/>
        <v>0</v>
      </c>
      <c r="AD53" s="353"/>
      <c r="AE53" s="353">
        <f t="shared" si="19"/>
        <v>3.14</v>
      </c>
      <c r="AF53" s="353"/>
      <c r="AG53" s="353"/>
      <c r="AH53" s="345"/>
      <c r="AI53" s="353">
        <f t="shared" si="20"/>
        <v>3.14</v>
      </c>
      <c r="AJ53" s="343"/>
      <c r="AK53" s="343"/>
      <c r="AL53" s="343"/>
      <c r="AM53" s="343"/>
      <c r="AN53" s="347">
        <f t="shared" si="8"/>
        <v>0</v>
      </c>
      <c r="AO53" s="347">
        <v>1.17</v>
      </c>
      <c r="AP53" s="347"/>
      <c r="AQ53" s="348">
        <f t="shared" si="10"/>
        <v>1.17</v>
      </c>
      <c r="AR53" s="340"/>
    </row>
    <row r="54" spans="1:44" s="354" customFormat="1" ht="24">
      <c r="A54" s="341" t="s">
        <v>137</v>
      </c>
      <c r="B54" s="357" t="s">
        <v>138</v>
      </c>
      <c r="C54" s="343"/>
      <c r="D54" s="347"/>
      <c r="E54" s="347"/>
      <c r="F54" s="347">
        <v>9</v>
      </c>
      <c r="G54" s="347"/>
      <c r="H54" s="353"/>
      <c r="I54" s="353"/>
      <c r="J54" s="353">
        <f t="shared" si="15"/>
        <v>9</v>
      </c>
      <c r="K54" s="353"/>
      <c r="L54" s="353"/>
      <c r="M54" s="353"/>
      <c r="N54" s="353">
        <f t="shared" si="16"/>
        <v>9</v>
      </c>
      <c r="O54" s="353"/>
      <c r="P54" s="353"/>
      <c r="Q54" s="353"/>
      <c r="R54" s="345">
        <f t="shared" si="17"/>
        <v>9</v>
      </c>
      <c r="S54" s="345">
        <f t="shared" si="9"/>
        <v>2.39</v>
      </c>
      <c r="T54" s="353"/>
      <c r="U54" s="353"/>
      <c r="V54" s="353"/>
      <c r="W54" s="353"/>
      <c r="X54" s="353"/>
      <c r="Y54" s="347"/>
      <c r="Z54" s="347"/>
      <c r="AA54" s="353"/>
      <c r="AB54" s="353"/>
      <c r="AC54" s="345">
        <f t="shared" si="18"/>
        <v>0</v>
      </c>
      <c r="AD54" s="353"/>
      <c r="AE54" s="353">
        <f t="shared" si="19"/>
        <v>9</v>
      </c>
      <c r="AF54" s="353"/>
      <c r="AG54" s="353"/>
      <c r="AH54" s="345"/>
      <c r="AI54" s="353">
        <f t="shared" si="20"/>
        <v>9</v>
      </c>
      <c r="AJ54" s="343"/>
      <c r="AK54" s="343"/>
      <c r="AL54" s="343"/>
      <c r="AM54" s="343"/>
      <c r="AN54" s="347">
        <f t="shared" si="8"/>
        <v>0</v>
      </c>
      <c r="AO54" s="347">
        <f>(2.18+0.21)*1.18</f>
        <v>2.8202</v>
      </c>
      <c r="AP54" s="343"/>
      <c r="AQ54" s="348">
        <f t="shared" si="10"/>
        <v>2.8202</v>
      </c>
      <c r="AR54" s="340"/>
    </row>
    <row r="55" spans="1:44" s="354" customFormat="1" ht="24">
      <c r="A55" s="341" t="s">
        <v>139</v>
      </c>
      <c r="B55" s="357" t="s">
        <v>140</v>
      </c>
      <c r="C55" s="343"/>
      <c r="D55" s="347"/>
      <c r="E55" s="347"/>
      <c r="F55" s="347">
        <v>0.94</v>
      </c>
      <c r="G55" s="347"/>
      <c r="H55" s="353"/>
      <c r="I55" s="353"/>
      <c r="J55" s="353">
        <f t="shared" si="15"/>
        <v>0.94</v>
      </c>
      <c r="K55" s="353"/>
      <c r="L55" s="353"/>
      <c r="M55" s="353"/>
      <c r="N55" s="353">
        <f t="shared" si="16"/>
        <v>0.94</v>
      </c>
      <c r="O55" s="353"/>
      <c r="P55" s="353"/>
      <c r="Q55" s="353"/>
      <c r="R55" s="345">
        <f t="shared" si="17"/>
        <v>0.94</v>
      </c>
      <c r="S55" s="345">
        <f t="shared" si="9"/>
        <v>0.5700000000000001</v>
      </c>
      <c r="T55" s="353"/>
      <c r="U55" s="353"/>
      <c r="V55" s="353"/>
      <c r="W55" s="353"/>
      <c r="X55" s="353"/>
      <c r="Y55" s="347"/>
      <c r="Z55" s="347"/>
      <c r="AA55" s="353"/>
      <c r="AB55" s="353"/>
      <c r="AC55" s="345">
        <f t="shared" si="18"/>
        <v>0</v>
      </c>
      <c r="AD55" s="353"/>
      <c r="AE55" s="353">
        <f t="shared" si="19"/>
        <v>0.94</v>
      </c>
      <c r="AF55" s="353"/>
      <c r="AG55" s="353"/>
      <c r="AH55" s="345"/>
      <c r="AI55" s="353">
        <f t="shared" si="20"/>
        <v>0.94</v>
      </c>
      <c r="AJ55" s="343"/>
      <c r="AK55" s="343"/>
      <c r="AL55" s="343"/>
      <c r="AM55" s="343"/>
      <c r="AN55" s="347">
        <f t="shared" si="8"/>
        <v>0</v>
      </c>
      <c r="AO55" s="347">
        <f>(0.52+0.05)*1.18</f>
        <v>0.6726000000000001</v>
      </c>
      <c r="AP55" s="343"/>
      <c r="AQ55" s="348">
        <f t="shared" si="10"/>
        <v>0.6726000000000001</v>
      </c>
      <c r="AR55" s="340"/>
    </row>
    <row r="56" spans="1:44" s="354" customFormat="1" ht="24">
      <c r="A56" s="341" t="s">
        <v>141</v>
      </c>
      <c r="B56" s="357" t="s">
        <v>142</v>
      </c>
      <c r="C56" s="343"/>
      <c r="D56" s="347"/>
      <c r="E56" s="347"/>
      <c r="F56" s="347">
        <v>0.68</v>
      </c>
      <c r="G56" s="347"/>
      <c r="H56" s="353"/>
      <c r="I56" s="353"/>
      <c r="J56" s="353">
        <f t="shared" si="15"/>
        <v>0.68</v>
      </c>
      <c r="K56" s="353"/>
      <c r="L56" s="353"/>
      <c r="M56" s="353"/>
      <c r="N56" s="353">
        <f t="shared" si="16"/>
        <v>0.68</v>
      </c>
      <c r="O56" s="353"/>
      <c r="P56" s="353"/>
      <c r="Q56" s="353"/>
      <c r="R56" s="345">
        <f t="shared" si="17"/>
        <v>0.68</v>
      </c>
      <c r="S56" s="345">
        <f t="shared" si="9"/>
        <v>0.27</v>
      </c>
      <c r="T56" s="353"/>
      <c r="U56" s="353"/>
      <c r="V56" s="353"/>
      <c r="W56" s="353"/>
      <c r="X56" s="353"/>
      <c r="Y56" s="347"/>
      <c r="Z56" s="347"/>
      <c r="AA56" s="353"/>
      <c r="AB56" s="353"/>
      <c r="AC56" s="345">
        <f t="shared" si="18"/>
        <v>0</v>
      </c>
      <c r="AD56" s="353"/>
      <c r="AE56" s="353">
        <f t="shared" si="19"/>
        <v>0.68</v>
      </c>
      <c r="AF56" s="353"/>
      <c r="AG56" s="353"/>
      <c r="AH56" s="345"/>
      <c r="AI56" s="353">
        <f t="shared" si="20"/>
        <v>0.68</v>
      </c>
      <c r="AJ56" s="343"/>
      <c r="AK56" s="343"/>
      <c r="AL56" s="343"/>
      <c r="AM56" s="343"/>
      <c r="AN56" s="347">
        <f t="shared" si="8"/>
        <v>0</v>
      </c>
      <c r="AO56" s="347">
        <f>(0.25+0.02)*1.18</f>
        <v>0.3186</v>
      </c>
      <c r="AP56" s="343"/>
      <c r="AQ56" s="348">
        <f t="shared" si="10"/>
        <v>0.3186</v>
      </c>
      <c r="AR56" s="340"/>
    </row>
    <row r="57" spans="1:44" s="354" customFormat="1" ht="24">
      <c r="A57" s="341" t="s">
        <v>143</v>
      </c>
      <c r="B57" s="357" t="s">
        <v>144</v>
      </c>
      <c r="C57" s="343"/>
      <c r="D57" s="347"/>
      <c r="E57" s="347"/>
      <c r="F57" s="347">
        <v>2.24</v>
      </c>
      <c r="G57" s="347"/>
      <c r="H57" s="353"/>
      <c r="I57" s="353"/>
      <c r="J57" s="353">
        <f t="shared" si="15"/>
        <v>2.24</v>
      </c>
      <c r="K57" s="353"/>
      <c r="L57" s="353"/>
      <c r="M57" s="353"/>
      <c r="N57" s="353">
        <f t="shared" si="16"/>
        <v>2.24</v>
      </c>
      <c r="O57" s="353"/>
      <c r="P57" s="353"/>
      <c r="Q57" s="353"/>
      <c r="R57" s="345">
        <f t="shared" si="17"/>
        <v>2.24</v>
      </c>
      <c r="S57" s="345">
        <f t="shared" si="9"/>
        <v>1.1800000000000002</v>
      </c>
      <c r="T57" s="353"/>
      <c r="U57" s="353"/>
      <c r="V57" s="353"/>
      <c r="W57" s="353"/>
      <c r="X57" s="353"/>
      <c r="Y57" s="347"/>
      <c r="Z57" s="347"/>
      <c r="AA57" s="353"/>
      <c r="AB57" s="353"/>
      <c r="AC57" s="345">
        <f t="shared" si="18"/>
        <v>0</v>
      </c>
      <c r="AD57" s="353"/>
      <c r="AE57" s="353">
        <f t="shared" si="19"/>
        <v>2.24</v>
      </c>
      <c r="AF57" s="353"/>
      <c r="AG57" s="353"/>
      <c r="AH57" s="345"/>
      <c r="AI57" s="353">
        <f t="shared" si="20"/>
        <v>2.24</v>
      </c>
      <c r="AJ57" s="343"/>
      <c r="AK57" s="343"/>
      <c r="AL57" s="343"/>
      <c r="AM57" s="343"/>
      <c r="AN57" s="347">
        <f t="shared" si="8"/>
        <v>0</v>
      </c>
      <c r="AO57" s="347">
        <f>(1.08+0.1)*1.18</f>
        <v>1.3924</v>
      </c>
      <c r="AP57" s="343"/>
      <c r="AQ57" s="348">
        <f t="shared" si="10"/>
        <v>1.3924</v>
      </c>
      <c r="AR57" s="340"/>
    </row>
    <row r="58" spans="1:44" s="289" customFormat="1" ht="15">
      <c r="A58" s="341" t="s">
        <v>145</v>
      </c>
      <c r="B58" s="358" t="s">
        <v>146</v>
      </c>
      <c r="C58" s="343"/>
      <c r="D58" s="343"/>
      <c r="E58" s="344"/>
      <c r="F58" s="343">
        <v>0.22</v>
      </c>
      <c r="G58" s="345"/>
      <c r="H58" s="345"/>
      <c r="I58" s="345"/>
      <c r="J58" s="353">
        <f t="shared" si="15"/>
        <v>0.22</v>
      </c>
      <c r="K58" s="345"/>
      <c r="L58" s="343"/>
      <c r="M58" s="345"/>
      <c r="N58" s="353">
        <f t="shared" si="16"/>
        <v>0.22</v>
      </c>
      <c r="O58" s="345"/>
      <c r="P58" s="345"/>
      <c r="Q58" s="345"/>
      <c r="R58" s="345">
        <f t="shared" si="17"/>
        <v>0.22</v>
      </c>
      <c r="S58" s="345">
        <f t="shared" si="9"/>
        <v>0.42372881355932207</v>
      </c>
      <c r="T58" s="344"/>
      <c r="U58" s="344"/>
      <c r="V58" s="345"/>
      <c r="W58" s="345"/>
      <c r="X58" s="344"/>
      <c r="Y58" s="344"/>
      <c r="Z58" s="345"/>
      <c r="AA58" s="345"/>
      <c r="AB58" s="345"/>
      <c r="AC58" s="345">
        <f t="shared" si="18"/>
        <v>0</v>
      </c>
      <c r="AD58" s="344"/>
      <c r="AE58" s="343">
        <v>0.22</v>
      </c>
      <c r="AF58" s="345"/>
      <c r="AG58" s="345"/>
      <c r="AH58" s="345"/>
      <c r="AI58" s="345">
        <f aca="true" t="shared" si="21" ref="AI58:AI72">AC58+AE58+AG58</f>
        <v>0.22</v>
      </c>
      <c r="AJ58" s="346"/>
      <c r="AK58" s="346"/>
      <c r="AL58" s="347"/>
      <c r="AM58" s="346"/>
      <c r="AN58" s="347">
        <f t="shared" si="8"/>
        <v>0</v>
      </c>
      <c r="AO58" s="347">
        <v>0.5</v>
      </c>
      <c r="AP58" s="346"/>
      <c r="AQ58" s="348">
        <f t="shared" si="10"/>
        <v>0.5</v>
      </c>
      <c r="AR58" s="340"/>
    </row>
    <row r="59" spans="1:44" s="289" customFormat="1" ht="24">
      <c r="A59" s="341" t="s">
        <v>147</v>
      </c>
      <c r="B59" s="358" t="s">
        <v>148</v>
      </c>
      <c r="C59" s="343"/>
      <c r="D59" s="343"/>
      <c r="E59" s="344"/>
      <c r="F59" s="343">
        <v>2.61</v>
      </c>
      <c r="G59" s="345"/>
      <c r="H59" s="345"/>
      <c r="I59" s="345"/>
      <c r="J59" s="353">
        <f t="shared" si="15"/>
        <v>2.61</v>
      </c>
      <c r="K59" s="345"/>
      <c r="L59" s="343"/>
      <c r="M59" s="345"/>
      <c r="N59" s="353">
        <f t="shared" si="16"/>
        <v>2.61</v>
      </c>
      <c r="O59" s="345"/>
      <c r="P59" s="345"/>
      <c r="Q59" s="345"/>
      <c r="R59" s="345">
        <f t="shared" si="17"/>
        <v>2.61</v>
      </c>
      <c r="S59" s="345">
        <f t="shared" si="9"/>
        <v>0.983050847457627</v>
      </c>
      <c r="T59" s="344"/>
      <c r="U59" s="344"/>
      <c r="V59" s="345"/>
      <c r="W59" s="345"/>
      <c r="X59" s="344"/>
      <c r="Y59" s="344"/>
      <c r="Z59" s="345"/>
      <c r="AA59" s="345"/>
      <c r="AB59" s="345"/>
      <c r="AC59" s="345">
        <f t="shared" si="18"/>
        <v>0</v>
      </c>
      <c r="AD59" s="344"/>
      <c r="AE59" s="343">
        <v>2.61</v>
      </c>
      <c r="AF59" s="345"/>
      <c r="AG59" s="345"/>
      <c r="AH59" s="345"/>
      <c r="AI59" s="345">
        <f t="shared" si="21"/>
        <v>2.61</v>
      </c>
      <c r="AJ59" s="346"/>
      <c r="AK59" s="346"/>
      <c r="AL59" s="347"/>
      <c r="AM59" s="346"/>
      <c r="AN59" s="347">
        <f t="shared" si="8"/>
        <v>0</v>
      </c>
      <c r="AO59" s="347">
        <v>1.16</v>
      </c>
      <c r="AP59" s="346"/>
      <c r="AQ59" s="348">
        <f t="shared" si="10"/>
        <v>1.16</v>
      </c>
      <c r="AR59" s="340"/>
    </row>
    <row r="60" spans="1:44" s="289" customFormat="1" ht="15">
      <c r="A60" s="341" t="s">
        <v>149</v>
      </c>
      <c r="B60" s="359" t="s">
        <v>465</v>
      </c>
      <c r="C60" s="343"/>
      <c r="D60" s="343"/>
      <c r="E60" s="344"/>
      <c r="F60" s="343">
        <v>4.16</v>
      </c>
      <c r="G60" s="345"/>
      <c r="H60" s="345"/>
      <c r="I60" s="345"/>
      <c r="J60" s="353">
        <f t="shared" si="15"/>
        <v>4.16</v>
      </c>
      <c r="K60" s="345"/>
      <c r="L60" s="343"/>
      <c r="M60" s="345"/>
      <c r="N60" s="353">
        <f t="shared" si="16"/>
        <v>4.16</v>
      </c>
      <c r="O60" s="345"/>
      <c r="P60" s="345"/>
      <c r="Q60" s="345"/>
      <c r="R60" s="345">
        <f t="shared" si="17"/>
        <v>4.16</v>
      </c>
      <c r="S60" s="345">
        <f t="shared" si="9"/>
        <v>0.22881355932203393</v>
      </c>
      <c r="T60" s="344"/>
      <c r="U60" s="344"/>
      <c r="V60" s="345"/>
      <c r="W60" s="345"/>
      <c r="X60" s="344"/>
      <c r="Y60" s="344"/>
      <c r="Z60" s="345"/>
      <c r="AA60" s="345"/>
      <c r="AB60" s="345"/>
      <c r="AC60" s="345">
        <f t="shared" si="18"/>
        <v>0</v>
      </c>
      <c r="AD60" s="344"/>
      <c r="AE60" s="343">
        <v>4.16</v>
      </c>
      <c r="AF60" s="345"/>
      <c r="AG60" s="345"/>
      <c r="AH60" s="345"/>
      <c r="AI60" s="345">
        <f t="shared" si="21"/>
        <v>4.16</v>
      </c>
      <c r="AJ60" s="346"/>
      <c r="AK60" s="346"/>
      <c r="AL60" s="346"/>
      <c r="AM60" s="346"/>
      <c r="AN60" s="347">
        <f t="shared" si="8"/>
        <v>0</v>
      </c>
      <c r="AO60" s="346">
        <v>0.27</v>
      </c>
      <c r="AP60" s="346"/>
      <c r="AQ60" s="348">
        <f t="shared" si="10"/>
        <v>0.27</v>
      </c>
      <c r="AR60" s="340"/>
    </row>
    <row r="61" spans="1:44" s="289" customFormat="1" ht="15">
      <c r="A61" s="341" t="s">
        <v>151</v>
      </c>
      <c r="B61" s="359" t="s">
        <v>152</v>
      </c>
      <c r="C61" s="343"/>
      <c r="D61" s="343"/>
      <c r="E61" s="344"/>
      <c r="F61" s="343">
        <v>3.15</v>
      </c>
      <c r="G61" s="345"/>
      <c r="H61" s="345"/>
      <c r="I61" s="345"/>
      <c r="J61" s="353">
        <f t="shared" si="15"/>
        <v>3.15</v>
      </c>
      <c r="K61" s="345"/>
      <c r="L61" s="343"/>
      <c r="M61" s="345"/>
      <c r="N61" s="353">
        <f t="shared" si="16"/>
        <v>3.15</v>
      </c>
      <c r="O61" s="345"/>
      <c r="P61" s="345"/>
      <c r="Q61" s="345"/>
      <c r="R61" s="345">
        <f t="shared" si="17"/>
        <v>3.15</v>
      </c>
      <c r="S61" s="345">
        <f t="shared" si="9"/>
        <v>1.8135593220338986</v>
      </c>
      <c r="T61" s="344"/>
      <c r="U61" s="344"/>
      <c r="V61" s="345"/>
      <c r="W61" s="345"/>
      <c r="X61" s="344"/>
      <c r="Y61" s="344"/>
      <c r="Z61" s="345"/>
      <c r="AA61" s="345"/>
      <c r="AB61" s="345"/>
      <c r="AC61" s="345">
        <f t="shared" si="18"/>
        <v>0</v>
      </c>
      <c r="AD61" s="344"/>
      <c r="AE61" s="343">
        <v>3.15</v>
      </c>
      <c r="AF61" s="345"/>
      <c r="AG61" s="345"/>
      <c r="AH61" s="345"/>
      <c r="AI61" s="345">
        <f t="shared" si="21"/>
        <v>3.15</v>
      </c>
      <c r="AJ61" s="346"/>
      <c r="AK61" s="346"/>
      <c r="AL61" s="346"/>
      <c r="AM61" s="346"/>
      <c r="AN61" s="347">
        <f t="shared" si="8"/>
        <v>0</v>
      </c>
      <c r="AO61" s="346">
        <v>2.14</v>
      </c>
      <c r="AP61" s="346"/>
      <c r="AQ61" s="348">
        <f t="shared" si="10"/>
        <v>2.14</v>
      </c>
      <c r="AR61" s="340"/>
    </row>
    <row r="62" spans="1:44" s="289" customFormat="1" ht="36">
      <c r="A62" s="341" t="s">
        <v>153</v>
      </c>
      <c r="B62" s="359" t="s">
        <v>154</v>
      </c>
      <c r="C62" s="343"/>
      <c r="D62" s="343"/>
      <c r="E62" s="344"/>
      <c r="F62" s="343">
        <v>2.61</v>
      </c>
      <c r="G62" s="345"/>
      <c r="H62" s="345"/>
      <c r="I62" s="345"/>
      <c r="J62" s="353">
        <f t="shared" si="15"/>
        <v>2.61</v>
      </c>
      <c r="K62" s="345"/>
      <c r="L62" s="343"/>
      <c r="M62" s="345"/>
      <c r="N62" s="353">
        <f t="shared" si="16"/>
        <v>2.61</v>
      </c>
      <c r="O62" s="345"/>
      <c r="P62" s="345"/>
      <c r="Q62" s="345"/>
      <c r="R62" s="345">
        <f t="shared" si="17"/>
        <v>2.61</v>
      </c>
      <c r="S62" s="345">
        <f t="shared" si="9"/>
        <v>15.542372881355933</v>
      </c>
      <c r="T62" s="344"/>
      <c r="U62" s="344"/>
      <c r="V62" s="345"/>
      <c r="W62" s="345"/>
      <c r="X62" s="344"/>
      <c r="Y62" s="344"/>
      <c r="Z62" s="345"/>
      <c r="AA62" s="345"/>
      <c r="AB62" s="345"/>
      <c r="AC62" s="345">
        <f t="shared" si="18"/>
        <v>0</v>
      </c>
      <c r="AD62" s="344"/>
      <c r="AE62" s="343">
        <v>2.61</v>
      </c>
      <c r="AF62" s="345"/>
      <c r="AG62" s="345"/>
      <c r="AH62" s="345"/>
      <c r="AI62" s="345">
        <f t="shared" si="21"/>
        <v>2.61</v>
      </c>
      <c r="AJ62" s="346"/>
      <c r="AK62" s="346"/>
      <c r="AL62" s="346"/>
      <c r="AM62" s="346"/>
      <c r="AN62" s="347">
        <f t="shared" si="8"/>
        <v>0</v>
      </c>
      <c r="AO62" s="346">
        <v>18.34</v>
      </c>
      <c r="AP62" s="346"/>
      <c r="AQ62" s="348">
        <f t="shared" si="10"/>
        <v>18.34</v>
      </c>
      <c r="AR62" s="340"/>
    </row>
    <row r="63" spans="1:44" s="289" customFormat="1" ht="15">
      <c r="A63" s="341" t="s">
        <v>155</v>
      </c>
      <c r="B63" s="360" t="s">
        <v>156</v>
      </c>
      <c r="C63" s="343"/>
      <c r="D63" s="343"/>
      <c r="E63" s="344"/>
      <c r="F63" s="343">
        <v>7.17</v>
      </c>
      <c r="G63" s="345"/>
      <c r="H63" s="345"/>
      <c r="I63" s="345"/>
      <c r="J63" s="353">
        <f t="shared" si="15"/>
        <v>7.17</v>
      </c>
      <c r="K63" s="345"/>
      <c r="L63" s="343"/>
      <c r="M63" s="345"/>
      <c r="N63" s="353">
        <f t="shared" si="16"/>
        <v>7.17</v>
      </c>
      <c r="O63" s="345"/>
      <c r="P63" s="345"/>
      <c r="Q63" s="345"/>
      <c r="R63" s="345">
        <f t="shared" si="17"/>
        <v>7.17</v>
      </c>
      <c r="S63" s="345">
        <f t="shared" si="9"/>
        <v>0.8050847457627118</v>
      </c>
      <c r="T63" s="344"/>
      <c r="U63" s="344"/>
      <c r="V63" s="345"/>
      <c r="W63" s="345"/>
      <c r="X63" s="344"/>
      <c r="Y63" s="344"/>
      <c r="Z63" s="345"/>
      <c r="AA63" s="345"/>
      <c r="AB63" s="345"/>
      <c r="AC63" s="345">
        <f t="shared" si="18"/>
        <v>0</v>
      </c>
      <c r="AD63" s="344"/>
      <c r="AE63" s="343">
        <v>7.17</v>
      </c>
      <c r="AF63" s="345"/>
      <c r="AG63" s="345"/>
      <c r="AH63" s="345"/>
      <c r="AI63" s="345">
        <f t="shared" si="21"/>
        <v>7.17</v>
      </c>
      <c r="AJ63" s="346"/>
      <c r="AK63" s="346"/>
      <c r="AL63" s="346"/>
      <c r="AM63" s="346"/>
      <c r="AN63" s="347">
        <f t="shared" si="8"/>
        <v>0</v>
      </c>
      <c r="AO63" s="346">
        <v>0.95</v>
      </c>
      <c r="AP63" s="346"/>
      <c r="AQ63" s="348">
        <f t="shared" si="10"/>
        <v>0.95</v>
      </c>
      <c r="AR63" s="340"/>
    </row>
    <row r="64" spans="1:44" s="289" customFormat="1" ht="24">
      <c r="A64" s="341" t="s">
        <v>157</v>
      </c>
      <c r="B64" s="360" t="s">
        <v>158</v>
      </c>
      <c r="C64" s="343"/>
      <c r="D64" s="343"/>
      <c r="E64" s="344"/>
      <c r="F64" s="343">
        <v>0.06</v>
      </c>
      <c r="G64" s="345"/>
      <c r="H64" s="345"/>
      <c r="I64" s="345"/>
      <c r="J64" s="353">
        <f t="shared" si="15"/>
        <v>0.06</v>
      </c>
      <c r="K64" s="345"/>
      <c r="L64" s="343"/>
      <c r="M64" s="345"/>
      <c r="N64" s="353">
        <f t="shared" si="16"/>
        <v>0.06</v>
      </c>
      <c r="O64" s="345"/>
      <c r="P64" s="345"/>
      <c r="Q64" s="345"/>
      <c r="R64" s="345">
        <f t="shared" si="17"/>
        <v>0.06</v>
      </c>
      <c r="S64" s="345">
        <f t="shared" si="9"/>
        <v>0.3135593220338983</v>
      </c>
      <c r="T64" s="344"/>
      <c r="U64" s="344"/>
      <c r="V64" s="345"/>
      <c r="W64" s="345"/>
      <c r="X64" s="344"/>
      <c r="Y64" s="344"/>
      <c r="Z64" s="345"/>
      <c r="AA64" s="345"/>
      <c r="AB64" s="345"/>
      <c r="AC64" s="345">
        <f t="shared" si="18"/>
        <v>0</v>
      </c>
      <c r="AD64" s="344"/>
      <c r="AE64" s="343">
        <v>0.06</v>
      </c>
      <c r="AF64" s="345"/>
      <c r="AG64" s="345"/>
      <c r="AH64" s="345"/>
      <c r="AI64" s="345">
        <f t="shared" si="21"/>
        <v>0.06</v>
      </c>
      <c r="AJ64" s="346"/>
      <c r="AK64" s="346"/>
      <c r="AL64" s="346"/>
      <c r="AM64" s="346"/>
      <c r="AN64" s="347">
        <f t="shared" si="8"/>
        <v>0</v>
      </c>
      <c r="AO64" s="346">
        <v>0.37</v>
      </c>
      <c r="AP64" s="346"/>
      <c r="AQ64" s="348">
        <f t="shared" si="10"/>
        <v>0.37</v>
      </c>
      <c r="AR64" s="340"/>
    </row>
    <row r="65" spans="1:44" s="289" customFormat="1" ht="15">
      <c r="A65" s="341" t="s">
        <v>159</v>
      </c>
      <c r="B65" s="355" t="s">
        <v>160</v>
      </c>
      <c r="C65" s="343"/>
      <c r="D65" s="343"/>
      <c r="E65" s="344"/>
      <c r="F65" s="343">
        <v>1.97</v>
      </c>
      <c r="G65" s="345"/>
      <c r="H65" s="345"/>
      <c r="I65" s="345"/>
      <c r="J65" s="353">
        <f t="shared" si="15"/>
        <v>1.97</v>
      </c>
      <c r="K65" s="345"/>
      <c r="L65" s="343"/>
      <c r="M65" s="345"/>
      <c r="N65" s="353">
        <f t="shared" si="16"/>
        <v>1.97</v>
      </c>
      <c r="O65" s="345"/>
      <c r="P65" s="345"/>
      <c r="Q65" s="345"/>
      <c r="R65" s="345">
        <f t="shared" si="17"/>
        <v>1.97</v>
      </c>
      <c r="S65" s="345">
        <f t="shared" si="9"/>
        <v>0.6949152542372882</v>
      </c>
      <c r="T65" s="344"/>
      <c r="U65" s="344"/>
      <c r="V65" s="345"/>
      <c r="W65" s="345"/>
      <c r="X65" s="344"/>
      <c r="Y65" s="344"/>
      <c r="Z65" s="345"/>
      <c r="AA65" s="345"/>
      <c r="AB65" s="345"/>
      <c r="AC65" s="345">
        <f t="shared" si="18"/>
        <v>0</v>
      </c>
      <c r="AD65" s="344"/>
      <c r="AE65" s="343">
        <v>1.97</v>
      </c>
      <c r="AF65" s="345"/>
      <c r="AG65" s="345"/>
      <c r="AH65" s="345"/>
      <c r="AI65" s="345">
        <f t="shared" si="21"/>
        <v>1.97</v>
      </c>
      <c r="AJ65" s="346"/>
      <c r="AK65" s="346"/>
      <c r="AL65" s="346"/>
      <c r="AM65" s="346"/>
      <c r="AN65" s="347">
        <f t="shared" si="8"/>
        <v>0</v>
      </c>
      <c r="AO65" s="346">
        <v>0.82</v>
      </c>
      <c r="AP65" s="346"/>
      <c r="AQ65" s="348">
        <f t="shared" si="10"/>
        <v>0.82</v>
      </c>
      <c r="AR65" s="340"/>
    </row>
    <row r="66" spans="1:44" s="289" customFormat="1" ht="15">
      <c r="A66" s="341" t="s">
        <v>161</v>
      </c>
      <c r="B66" s="355" t="s">
        <v>162</v>
      </c>
      <c r="C66" s="343"/>
      <c r="D66" s="343"/>
      <c r="E66" s="344"/>
      <c r="F66" s="343">
        <v>3.69</v>
      </c>
      <c r="G66" s="345"/>
      <c r="H66" s="345"/>
      <c r="I66" s="345"/>
      <c r="J66" s="353">
        <f t="shared" si="15"/>
        <v>3.69</v>
      </c>
      <c r="K66" s="345"/>
      <c r="L66" s="343"/>
      <c r="M66" s="345"/>
      <c r="N66" s="353">
        <f t="shared" si="16"/>
        <v>3.69</v>
      </c>
      <c r="O66" s="345"/>
      <c r="P66" s="345"/>
      <c r="Q66" s="345"/>
      <c r="R66" s="345">
        <f t="shared" si="17"/>
        <v>3.69</v>
      </c>
      <c r="S66" s="345">
        <f t="shared" si="9"/>
        <v>0.8813559322033899</v>
      </c>
      <c r="T66" s="344"/>
      <c r="U66" s="344"/>
      <c r="V66" s="345"/>
      <c r="W66" s="345"/>
      <c r="X66" s="344"/>
      <c r="Y66" s="344"/>
      <c r="Z66" s="345"/>
      <c r="AA66" s="345"/>
      <c r="AB66" s="345"/>
      <c r="AC66" s="345">
        <f t="shared" si="18"/>
        <v>0</v>
      </c>
      <c r="AD66" s="344"/>
      <c r="AE66" s="343">
        <v>3.69</v>
      </c>
      <c r="AF66" s="345"/>
      <c r="AG66" s="345"/>
      <c r="AH66" s="345"/>
      <c r="AI66" s="345">
        <f t="shared" si="21"/>
        <v>3.69</v>
      </c>
      <c r="AJ66" s="346"/>
      <c r="AK66" s="346"/>
      <c r="AL66" s="346"/>
      <c r="AM66" s="346"/>
      <c r="AN66" s="347">
        <f t="shared" si="8"/>
        <v>0</v>
      </c>
      <c r="AO66" s="346">
        <v>1.04</v>
      </c>
      <c r="AP66" s="346"/>
      <c r="AQ66" s="348">
        <f t="shared" si="10"/>
        <v>1.04</v>
      </c>
      <c r="AR66" s="340"/>
    </row>
    <row r="67" spans="1:44" s="289" customFormat="1" ht="15">
      <c r="A67" s="341" t="s">
        <v>163</v>
      </c>
      <c r="B67" s="355" t="s">
        <v>164</v>
      </c>
      <c r="C67" s="343"/>
      <c r="D67" s="343"/>
      <c r="E67" s="344"/>
      <c r="F67" s="343">
        <v>2.83</v>
      </c>
      <c r="G67" s="345"/>
      <c r="H67" s="345"/>
      <c r="I67" s="345"/>
      <c r="J67" s="353">
        <f t="shared" si="15"/>
        <v>2.83</v>
      </c>
      <c r="K67" s="345"/>
      <c r="L67" s="343"/>
      <c r="M67" s="345"/>
      <c r="N67" s="353">
        <f t="shared" si="16"/>
        <v>2.83</v>
      </c>
      <c r="O67" s="345"/>
      <c r="P67" s="345"/>
      <c r="Q67" s="345"/>
      <c r="R67" s="345">
        <f t="shared" si="17"/>
        <v>2.83</v>
      </c>
      <c r="S67" s="345">
        <f t="shared" si="9"/>
        <v>0.2627118644067797</v>
      </c>
      <c r="T67" s="344"/>
      <c r="U67" s="344"/>
      <c r="V67" s="345"/>
      <c r="W67" s="345"/>
      <c r="X67" s="344"/>
      <c r="Y67" s="344"/>
      <c r="Z67" s="345"/>
      <c r="AA67" s="345"/>
      <c r="AB67" s="345"/>
      <c r="AC67" s="345">
        <f t="shared" si="18"/>
        <v>0</v>
      </c>
      <c r="AD67" s="344"/>
      <c r="AE67" s="343">
        <v>2.83</v>
      </c>
      <c r="AF67" s="345"/>
      <c r="AG67" s="345"/>
      <c r="AH67" s="345"/>
      <c r="AI67" s="345">
        <f t="shared" si="21"/>
        <v>2.83</v>
      </c>
      <c r="AJ67" s="346"/>
      <c r="AK67" s="346"/>
      <c r="AL67" s="346"/>
      <c r="AM67" s="346"/>
      <c r="AN67" s="347">
        <f t="shared" si="8"/>
        <v>0</v>
      </c>
      <c r="AO67" s="346">
        <v>0.31</v>
      </c>
      <c r="AP67" s="346"/>
      <c r="AQ67" s="348">
        <f t="shared" si="10"/>
        <v>0.31</v>
      </c>
      <c r="AR67" s="340"/>
    </row>
    <row r="68" spans="1:44" s="289" customFormat="1" ht="15">
      <c r="A68" s="341" t="s">
        <v>165</v>
      </c>
      <c r="B68" s="355" t="s">
        <v>166</v>
      </c>
      <c r="C68" s="343"/>
      <c r="D68" s="343"/>
      <c r="E68" s="344"/>
      <c r="F68" s="343">
        <v>4.21</v>
      </c>
      <c r="G68" s="345"/>
      <c r="H68" s="345"/>
      <c r="I68" s="345"/>
      <c r="J68" s="353">
        <f t="shared" si="15"/>
        <v>4.21</v>
      </c>
      <c r="K68" s="345"/>
      <c r="L68" s="343"/>
      <c r="M68" s="345"/>
      <c r="N68" s="353">
        <f t="shared" si="16"/>
        <v>4.21</v>
      </c>
      <c r="O68" s="345"/>
      <c r="P68" s="345"/>
      <c r="Q68" s="345"/>
      <c r="R68" s="345">
        <f t="shared" si="17"/>
        <v>4.21</v>
      </c>
      <c r="S68" s="345">
        <f t="shared" si="9"/>
        <v>1.076271186440678</v>
      </c>
      <c r="T68" s="344"/>
      <c r="U68" s="344"/>
      <c r="V68" s="345"/>
      <c r="W68" s="345"/>
      <c r="X68" s="344"/>
      <c r="Y68" s="344"/>
      <c r="Z68" s="345"/>
      <c r="AA68" s="345"/>
      <c r="AB68" s="345"/>
      <c r="AC68" s="345">
        <f t="shared" si="18"/>
        <v>0</v>
      </c>
      <c r="AD68" s="344"/>
      <c r="AE68" s="343">
        <v>4.21</v>
      </c>
      <c r="AF68" s="345"/>
      <c r="AG68" s="345"/>
      <c r="AH68" s="345"/>
      <c r="AI68" s="345">
        <f t="shared" si="21"/>
        <v>4.21</v>
      </c>
      <c r="AJ68" s="346"/>
      <c r="AK68" s="346"/>
      <c r="AL68" s="346"/>
      <c r="AM68" s="346"/>
      <c r="AN68" s="347">
        <f t="shared" si="8"/>
        <v>0</v>
      </c>
      <c r="AO68" s="346">
        <v>1.27</v>
      </c>
      <c r="AP68" s="346"/>
      <c r="AQ68" s="348">
        <f t="shared" si="10"/>
        <v>1.27</v>
      </c>
      <c r="AR68" s="340"/>
    </row>
    <row r="69" spans="1:44" s="289" customFormat="1" ht="24">
      <c r="A69" s="341" t="s">
        <v>167</v>
      </c>
      <c r="B69" s="355" t="s">
        <v>168</v>
      </c>
      <c r="C69" s="343"/>
      <c r="D69" s="343"/>
      <c r="E69" s="344"/>
      <c r="F69" s="343">
        <v>0.99</v>
      </c>
      <c r="G69" s="345"/>
      <c r="H69" s="345"/>
      <c r="I69" s="345"/>
      <c r="J69" s="353">
        <f t="shared" si="15"/>
        <v>0.99</v>
      </c>
      <c r="K69" s="345"/>
      <c r="L69" s="343"/>
      <c r="M69" s="345"/>
      <c r="N69" s="353">
        <f t="shared" si="16"/>
        <v>0.99</v>
      </c>
      <c r="O69" s="345"/>
      <c r="P69" s="345"/>
      <c r="Q69" s="345"/>
      <c r="R69" s="345">
        <f t="shared" si="17"/>
        <v>0.99</v>
      </c>
      <c r="S69" s="345">
        <f t="shared" si="9"/>
        <v>0.46610169491525427</v>
      </c>
      <c r="T69" s="344"/>
      <c r="U69" s="344"/>
      <c r="V69" s="345"/>
      <c r="W69" s="345"/>
      <c r="X69" s="344"/>
      <c r="Y69" s="344"/>
      <c r="Z69" s="345"/>
      <c r="AA69" s="345"/>
      <c r="AB69" s="345"/>
      <c r="AC69" s="345">
        <f t="shared" si="18"/>
        <v>0</v>
      </c>
      <c r="AD69" s="344"/>
      <c r="AE69" s="343">
        <v>0.99</v>
      </c>
      <c r="AF69" s="345"/>
      <c r="AG69" s="345"/>
      <c r="AH69" s="345"/>
      <c r="AI69" s="345">
        <f t="shared" si="21"/>
        <v>0.99</v>
      </c>
      <c r="AJ69" s="346"/>
      <c r="AK69" s="346"/>
      <c r="AL69" s="346"/>
      <c r="AM69" s="346"/>
      <c r="AN69" s="347">
        <f t="shared" si="8"/>
        <v>0</v>
      </c>
      <c r="AO69" s="346">
        <v>0.55</v>
      </c>
      <c r="AP69" s="346"/>
      <c r="AQ69" s="348">
        <f t="shared" si="10"/>
        <v>0.55</v>
      </c>
      <c r="AR69" s="340"/>
    </row>
    <row r="70" spans="1:44" s="289" customFormat="1" ht="24">
      <c r="A70" s="341" t="s">
        <v>169</v>
      </c>
      <c r="B70" s="359" t="s">
        <v>170</v>
      </c>
      <c r="C70" s="343"/>
      <c r="D70" s="343"/>
      <c r="E70" s="344"/>
      <c r="F70" s="343">
        <v>0.46</v>
      </c>
      <c r="G70" s="345"/>
      <c r="H70" s="345"/>
      <c r="I70" s="345"/>
      <c r="J70" s="353">
        <f t="shared" si="15"/>
        <v>0.46</v>
      </c>
      <c r="K70" s="345"/>
      <c r="L70" s="343"/>
      <c r="M70" s="345"/>
      <c r="N70" s="343">
        <v>0.46</v>
      </c>
      <c r="O70" s="345"/>
      <c r="P70" s="345"/>
      <c r="Q70" s="345"/>
      <c r="R70" s="345">
        <f t="shared" si="17"/>
        <v>0.46</v>
      </c>
      <c r="S70" s="345">
        <f t="shared" si="9"/>
        <v>0.364406779661017</v>
      </c>
      <c r="T70" s="344"/>
      <c r="U70" s="344"/>
      <c r="V70" s="345"/>
      <c r="W70" s="345"/>
      <c r="X70" s="344"/>
      <c r="Y70" s="344"/>
      <c r="Z70" s="345"/>
      <c r="AA70" s="345"/>
      <c r="AB70" s="345"/>
      <c r="AC70" s="345">
        <f t="shared" si="18"/>
        <v>0</v>
      </c>
      <c r="AD70" s="344"/>
      <c r="AE70" s="343">
        <v>0.46</v>
      </c>
      <c r="AF70" s="345"/>
      <c r="AG70" s="345"/>
      <c r="AH70" s="345"/>
      <c r="AI70" s="345">
        <f t="shared" si="21"/>
        <v>0.46</v>
      </c>
      <c r="AJ70" s="346"/>
      <c r="AK70" s="346"/>
      <c r="AL70" s="346"/>
      <c r="AM70" s="346"/>
      <c r="AN70" s="347">
        <f t="shared" si="8"/>
        <v>0</v>
      </c>
      <c r="AO70" s="346">
        <v>0.43</v>
      </c>
      <c r="AP70" s="346"/>
      <c r="AQ70" s="348">
        <f t="shared" si="10"/>
        <v>0.43</v>
      </c>
      <c r="AR70" s="340"/>
    </row>
    <row r="71" spans="1:44" s="289" customFormat="1" ht="15">
      <c r="A71" s="341" t="s">
        <v>171</v>
      </c>
      <c r="B71" s="358" t="s">
        <v>172</v>
      </c>
      <c r="C71" s="343"/>
      <c r="D71" s="343"/>
      <c r="E71" s="344"/>
      <c r="F71" s="343">
        <v>0.16</v>
      </c>
      <c r="G71" s="345"/>
      <c r="H71" s="345"/>
      <c r="I71" s="345"/>
      <c r="J71" s="353">
        <f t="shared" si="15"/>
        <v>0.16</v>
      </c>
      <c r="K71" s="345"/>
      <c r="L71" s="343"/>
      <c r="M71" s="345"/>
      <c r="N71" s="343">
        <v>0.16</v>
      </c>
      <c r="O71" s="345"/>
      <c r="P71" s="345"/>
      <c r="Q71" s="345"/>
      <c r="R71" s="345">
        <f t="shared" si="17"/>
        <v>0.16</v>
      </c>
      <c r="S71" s="345">
        <f t="shared" si="9"/>
        <v>0.288135593220339</v>
      </c>
      <c r="T71" s="344"/>
      <c r="U71" s="344"/>
      <c r="V71" s="345"/>
      <c r="W71" s="345"/>
      <c r="X71" s="344"/>
      <c r="Y71" s="344"/>
      <c r="Z71" s="345"/>
      <c r="AA71" s="345"/>
      <c r="AB71" s="345"/>
      <c r="AC71" s="345">
        <f t="shared" si="18"/>
        <v>0</v>
      </c>
      <c r="AD71" s="344"/>
      <c r="AE71" s="343">
        <v>0.16</v>
      </c>
      <c r="AF71" s="345"/>
      <c r="AG71" s="345"/>
      <c r="AH71" s="345"/>
      <c r="AI71" s="345">
        <f t="shared" si="21"/>
        <v>0.16</v>
      </c>
      <c r="AJ71" s="346"/>
      <c r="AK71" s="346"/>
      <c r="AL71" s="346"/>
      <c r="AM71" s="346"/>
      <c r="AN71" s="347">
        <f t="shared" si="8"/>
        <v>0</v>
      </c>
      <c r="AO71" s="346">
        <v>0.34</v>
      </c>
      <c r="AP71" s="346"/>
      <c r="AQ71" s="348">
        <f t="shared" si="10"/>
        <v>0.34</v>
      </c>
      <c r="AR71" s="340"/>
    </row>
    <row r="72" spans="1:44" s="289" customFormat="1" ht="15">
      <c r="A72" s="341" t="s">
        <v>173</v>
      </c>
      <c r="B72" s="359" t="s">
        <v>466</v>
      </c>
      <c r="C72" s="343"/>
      <c r="D72" s="343"/>
      <c r="E72" s="344"/>
      <c r="F72" s="343">
        <v>0.5</v>
      </c>
      <c r="G72" s="345"/>
      <c r="H72" s="345"/>
      <c r="I72" s="345"/>
      <c r="J72" s="353">
        <f t="shared" si="15"/>
        <v>0.5</v>
      </c>
      <c r="K72" s="345"/>
      <c r="L72" s="343"/>
      <c r="M72" s="345"/>
      <c r="N72" s="343">
        <v>0.5</v>
      </c>
      <c r="O72" s="345"/>
      <c r="P72" s="345"/>
      <c r="Q72" s="345"/>
      <c r="R72" s="345">
        <f t="shared" si="17"/>
        <v>0.5</v>
      </c>
      <c r="S72" s="345">
        <f t="shared" si="9"/>
        <v>0.5279661016949153</v>
      </c>
      <c r="T72" s="344"/>
      <c r="U72" s="344"/>
      <c r="V72" s="345"/>
      <c r="W72" s="345"/>
      <c r="X72" s="344"/>
      <c r="Y72" s="344"/>
      <c r="Z72" s="345"/>
      <c r="AA72" s="345"/>
      <c r="AB72" s="345"/>
      <c r="AC72" s="345">
        <f t="shared" si="18"/>
        <v>0</v>
      </c>
      <c r="AD72" s="344"/>
      <c r="AE72" s="343">
        <v>0.5</v>
      </c>
      <c r="AF72" s="345"/>
      <c r="AG72" s="345"/>
      <c r="AH72" s="345"/>
      <c r="AI72" s="345">
        <f t="shared" si="21"/>
        <v>0.5</v>
      </c>
      <c r="AJ72" s="346"/>
      <c r="AK72" s="346"/>
      <c r="AL72" s="346"/>
      <c r="AM72" s="346"/>
      <c r="AN72" s="347">
        <f t="shared" si="8"/>
        <v>0</v>
      </c>
      <c r="AO72" s="346">
        <v>0.623</v>
      </c>
      <c r="AP72" s="346"/>
      <c r="AQ72" s="348">
        <f t="shared" si="10"/>
        <v>0.623</v>
      </c>
      <c r="AR72" s="340"/>
    </row>
    <row r="73" spans="1:44" s="289" customFormat="1" ht="15">
      <c r="A73" s="341" t="s">
        <v>175</v>
      </c>
      <c r="B73" s="342" t="s">
        <v>176</v>
      </c>
      <c r="C73" s="343"/>
      <c r="D73" s="343"/>
      <c r="E73" s="343">
        <v>1.26</v>
      </c>
      <c r="F73" s="345"/>
      <c r="G73" s="345"/>
      <c r="H73" s="345"/>
      <c r="I73" s="345">
        <f aca="true" t="shared" si="22" ref="I73:I131">H73+G73+F73+E73+D73+C73</f>
        <v>1.26</v>
      </c>
      <c r="J73" s="345"/>
      <c r="K73" s="343"/>
      <c r="L73" s="345"/>
      <c r="M73" s="343">
        <v>1.26</v>
      </c>
      <c r="N73" s="345"/>
      <c r="O73" s="345"/>
      <c r="P73" s="345"/>
      <c r="Q73" s="345">
        <f aca="true" t="shared" si="23" ref="Q73:Q131">P73+O73+N73+M73+L73+K73</f>
        <v>1.26</v>
      </c>
      <c r="R73" s="345"/>
      <c r="S73" s="345">
        <f t="shared" si="9"/>
        <v>0.31610169491525425</v>
      </c>
      <c r="T73" s="344"/>
      <c r="U73" s="344"/>
      <c r="V73" s="345"/>
      <c r="W73" s="345"/>
      <c r="X73" s="344"/>
      <c r="Y73" s="344"/>
      <c r="Z73" s="343"/>
      <c r="AA73" s="345"/>
      <c r="AB73" s="345">
        <f aca="true" t="shared" si="24" ref="AB73:AB131">AA73+Z73+Y73+X73+W73+V73+U73+T73</f>
        <v>0</v>
      </c>
      <c r="AC73" s="345"/>
      <c r="AD73" s="343">
        <v>1.26</v>
      </c>
      <c r="AE73" s="345"/>
      <c r="AF73" s="345"/>
      <c r="AG73" s="345"/>
      <c r="AH73" s="345">
        <f aca="true" t="shared" si="25" ref="AH73:AH131">AB73+AD73+AF73</f>
        <v>1.26</v>
      </c>
      <c r="AI73" s="345"/>
      <c r="AJ73" s="346"/>
      <c r="AK73" s="346"/>
      <c r="AL73" s="346"/>
      <c r="AM73" s="346"/>
      <c r="AN73" s="347">
        <f t="shared" si="8"/>
        <v>0</v>
      </c>
      <c r="AO73" s="347">
        <v>0.373</v>
      </c>
      <c r="AP73" s="346"/>
      <c r="AQ73" s="348">
        <f t="shared" si="10"/>
        <v>0.373</v>
      </c>
      <c r="AR73" s="340"/>
    </row>
    <row r="74" spans="1:44" s="289" customFormat="1" ht="15">
      <c r="A74" s="341" t="s">
        <v>177</v>
      </c>
      <c r="B74" s="342" t="s">
        <v>178</v>
      </c>
      <c r="C74" s="343"/>
      <c r="D74" s="343"/>
      <c r="E74" s="343">
        <v>1.26</v>
      </c>
      <c r="F74" s="345"/>
      <c r="G74" s="345"/>
      <c r="H74" s="345"/>
      <c r="I74" s="345">
        <f t="shared" si="22"/>
        <v>1.26</v>
      </c>
      <c r="J74" s="345"/>
      <c r="K74" s="343"/>
      <c r="L74" s="345"/>
      <c r="M74" s="343">
        <v>1.26</v>
      </c>
      <c r="N74" s="345"/>
      <c r="O74" s="345"/>
      <c r="P74" s="345"/>
      <c r="Q74" s="345">
        <f t="shared" si="23"/>
        <v>1.26</v>
      </c>
      <c r="R74" s="345"/>
      <c r="S74" s="345">
        <f t="shared" si="9"/>
        <v>0.2966101694915254</v>
      </c>
      <c r="T74" s="344"/>
      <c r="U74" s="344"/>
      <c r="V74" s="345"/>
      <c r="W74" s="345"/>
      <c r="X74" s="344"/>
      <c r="Y74" s="344"/>
      <c r="Z74" s="343"/>
      <c r="AA74" s="345"/>
      <c r="AB74" s="345">
        <f t="shared" si="24"/>
        <v>0</v>
      </c>
      <c r="AC74" s="345"/>
      <c r="AD74" s="343">
        <v>1.26</v>
      </c>
      <c r="AE74" s="345"/>
      <c r="AF74" s="345"/>
      <c r="AG74" s="345"/>
      <c r="AH74" s="345">
        <f t="shared" si="25"/>
        <v>1.26</v>
      </c>
      <c r="AI74" s="345"/>
      <c r="AJ74" s="346"/>
      <c r="AK74" s="346"/>
      <c r="AL74" s="346"/>
      <c r="AM74" s="346"/>
      <c r="AN74" s="347">
        <f t="shared" si="8"/>
        <v>0</v>
      </c>
      <c r="AO74" s="347">
        <v>0.35</v>
      </c>
      <c r="AP74" s="346"/>
      <c r="AQ74" s="348">
        <f t="shared" si="10"/>
        <v>0.35</v>
      </c>
      <c r="AR74" s="340"/>
    </row>
    <row r="75" spans="1:44" s="289" customFormat="1" ht="15">
      <c r="A75" s="341" t="s">
        <v>179</v>
      </c>
      <c r="B75" s="342" t="s">
        <v>180</v>
      </c>
      <c r="C75" s="343"/>
      <c r="D75" s="343"/>
      <c r="E75" s="343">
        <v>2</v>
      </c>
      <c r="F75" s="345"/>
      <c r="G75" s="345"/>
      <c r="H75" s="345"/>
      <c r="I75" s="345">
        <f t="shared" si="22"/>
        <v>2</v>
      </c>
      <c r="J75" s="345"/>
      <c r="K75" s="343"/>
      <c r="L75" s="345"/>
      <c r="M75" s="343">
        <v>2</v>
      </c>
      <c r="N75" s="345"/>
      <c r="O75" s="345"/>
      <c r="P75" s="345"/>
      <c r="Q75" s="345">
        <f t="shared" si="23"/>
        <v>2</v>
      </c>
      <c r="R75" s="345"/>
      <c r="S75" s="345">
        <f t="shared" si="9"/>
        <v>1.9745762711864407</v>
      </c>
      <c r="T75" s="344"/>
      <c r="U75" s="344"/>
      <c r="V75" s="345"/>
      <c r="W75" s="345"/>
      <c r="X75" s="344"/>
      <c r="Y75" s="344"/>
      <c r="Z75" s="343"/>
      <c r="AA75" s="345"/>
      <c r="AB75" s="345">
        <f t="shared" si="24"/>
        <v>0</v>
      </c>
      <c r="AC75" s="345"/>
      <c r="AD75" s="343">
        <v>2</v>
      </c>
      <c r="AE75" s="345"/>
      <c r="AF75" s="345"/>
      <c r="AG75" s="345"/>
      <c r="AH75" s="345">
        <f t="shared" si="25"/>
        <v>2</v>
      </c>
      <c r="AI75" s="345"/>
      <c r="AJ75" s="346"/>
      <c r="AK75" s="346"/>
      <c r="AL75" s="346"/>
      <c r="AM75" s="346"/>
      <c r="AN75" s="347">
        <f t="shared" si="8"/>
        <v>0</v>
      </c>
      <c r="AO75" s="347">
        <v>2.33</v>
      </c>
      <c r="AP75" s="346">
        <v>0</v>
      </c>
      <c r="AQ75" s="348">
        <f t="shared" si="10"/>
        <v>2.33</v>
      </c>
      <c r="AR75" s="340"/>
    </row>
    <row r="76" spans="1:44" s="289" customFormat="1" ht="15">
      <c r="A76" s="341" t="s">
        <v>181</v>
      </c>
      <c r="B76" s="342" t="s">
        <v>182</v>
      </c>
      <c r="C76" s="343"/>
      <c r="D76" s="343"/>
      <c r="E76" s="343">
        <v>1.26</v>
      </c>
      <c r="F76" s="345"/>
      <c r="G76" s="345"/>
      <c r="H76" s="345"/>
      <c r="I76" s="345">
        <f t="shared" si="22"/>
        <v>1.26</v>
      </c>
      <c r="J76" s="345"/>
      <c r="K76" s="343"/>
      <c r="L76" s="345"/>
      <c r="M76" s="343">
        <v>1.26</v>
      </c>
      <c r="N76" s="345"/>
      <c r="O76" s="345"/>
      <c r="P76" s="345"/>
      <c r="Q76" s="345">
        <f t="shared" si="23"/>
        <v>1.26</v>
      </c>
      <c r="R76" s="345"/>
      <c r="S76" s="345">
        <f t="shared" si="9"/>
        <v>2.406779661016949</v>
      </c>
      <c r="T76" s="344"/>
      <c r="U76" s="344"/>
      <c r="V76" s="345"/>
      <c r="W76" s="345"/>
      <c r="X76" s="344"/>
      <c r="Y76" s="344"/>
      <c r="Z76" s="343"/>
      <c r="AA76" s="345"/>
      <c r="AB76" s="345">
        <f t="shared" si="24"/>
        <v>0</v>
      </c>
      <c r="AC76" s="345"/>
      <c r="AD76" s="343">
        <v>1.26</v>
      </c>
      <c r="AE76" s="345"/>
      <c r="AF76" s="345"/>
      <c r="AG76" s="345"/>
      <c r="AH76" s="345">
        <f t="shared" si="25"/>
        <v>1.26</v>
      </c>
      <c r="AI76" s="345"/>
      <c r="AJ76" s="346"/>
      <c r="AK76" s="346"/>
      <c r="AL76" s="346"/>
      <c r="AM76" s="346"/>
      <c r="AN76" s="347">
        <f t="shared" si="8"/>
        <v>0</v>
      </c>
      <c r="AO76" s="347">
        <v>2.84</v>
      </c>
      <c r="AP76" s="346"/>
      <c r="AQ76" s="348">
        <f t="shared" si="10"/>
        <v>2.84</v>
      </c>
      <c r="AR76" s="340"/>
    </row>
    <row r="77" spans="1:44" s="289" customFormat="1" ht="15">
      <c r="A77" s="341" t="s">
        <v>183</v>
      </c>
      <c r="B77" s="342" t="s">
        <v>184</v>
      </c>
      <c r="C77" s="343"/>
      <c r="D77" s="343"/>
      <c r="E77" s="343">
        <v>2</v>
      </c>
      <c r="F77" s="345"/>
      <c r="G77" s="345"/>
      <c r="H77" s="345"/>
      <c r="I77" s="345">
        <f t="shared" si="22"/>
        <v>2</v>
      </c>
      <c r="J77" s="345"/>
      <c r="K77" s="343"/>
      <c r="L77" s="345"/>
      <c r="M77" s="343">
        <v>2</v>
      </c>
      <c r="N77" s="345"/>
      <c r="O77" s="345"/>
      <c r="P77" s="345"/>
      <c r="Q77" s="345">
        <f t="shared" si="23"/>
        <v>2</v>
      </c>
      <c r="R77" s="345"/>
      <c r="S77" s="345">
        <f t="shared" si="9"/>
        <v>0.24576271186440676</v>
      </c>
      <c r="T77" s="344"/>
      <c r="U77" s="344"/>
      <c r="V77" s="345"/>
      <c r="W77" s="345"/>
      <c r="X77" s="344"/>
      <c r="Y77" s="344"/>
      <c r="Z77" s="343"/>
      <c r="AA77" s="345"/>
      <c r="AB77" s="345">
        <f t="shared" si="24"/>
        <v>0</v>
      </c>
      <c r="AC77" s="345"/>
      <c r="AD77" s="343">
        <v>2</v>
      </c>
      <c r="AE77" s="345"/>
      <c r="AF77" s="345"/>
      <c r="AG77" s="345"/>
      <c r="AH77" s="345">
        <f t="shared" si="25"/>
        <v>2</v>
      </c>
      <c r="AI77" s="345"/>
      <c r="AJ77" s="346"/>
      <c r="AK77" s="346"/>
      <c r="AL77" s="346"/>
      <c r="AM77" s="346"/>
      <c r="AN77" s="347">
        <f t="shared" si="8"/>
        <v>0</v>
      </c>
      <c r="AO77" s="347">
        <v>0.29</v>
      </c>
      <c r="AP77" s="346"/>
      <c r="AQ77" s="348">
        <f t="shared" si="10"/>
        <v>0.29</v>
      </c>
      <c r="AR77" s="340"/>
    </row>
    <row r="78" spans="1:44" s="289" customFormat="1" ht="15">
      <c r="A78" s="341" t="s">
        <v>185</v>
      </c>
      <c r="B78" s="342" t="s">
        <v>186</v>
      </c>
      <c r="C78" s="343"/>
      <c r="D78" s="343"/>
      <c r="E78" s="343">
        <v>0.8</v>
      </c>
      <c r="F78" s="345"/>
      <c r="G78" s="345"/>
      <c r="H78" s="345"/>
      <c r="I78" s="345">
        <f t="shared" si="22"/>
        <v>0.8</v>
      </c>
      <c r="J78" s="345"/>
      <c r="K78" s="343"/>
      <c r="L78" s="345"/>
      <c r="M78" s="343">
        <v>0.8</v>
      </c>
      <c r="N78" s="345"/>
      <c r="O78" s="345"/>
      <c r="P78" s="345"/>
      <c r="Q78" s="345">
        <f t="shared" si="23"/>
        <v>0.8</v>
      </c>
      <c r="R78" s="345"/>
      <c r="S78" s="345">
        <f t="shared" si="9"/>
        <v>0.24576271186440676</v>
      </c>
      <c r="T78" s="344"/>
      <c r="U78" s="344"/>
      <c r="V78" s="345"/>
      <c r="W78" s="345"/>
      <c r="X78" s="344"/>
      <c r="Y78" s="344"/>
      <c r="Z78" s="343"/>
      <c r="AA78" s="345"/>
      <c r="AB78" s="345">
        <f t="shared" si="24"/>
        <v>0</v>
      </c>
      <c r="AC78" s="345"/>
      <c r="AD78" s="343">
        <v>0.8</v>
      </c>
      <c r="AE78" s="345"/>
      <c r="AF78" s="345"/>
      <c r="AG78" s="345"/>
      <c r="AH78" s="345">
        <f t="shared" si="25"/>
        <v>0.8</v>
      </c>
      <c r="AI78" s="345"/>
      <c r="AJ78" s="346"/>
      <c r="AK78" s="346"/>
      <c r="AL78" s="346"/>
      <c r="AM78" s="346"/>
      <c r="AN78" s="347">
        <f t="shared" si="8"/>
        <v>0</v>
      </c>
      <c r="AO78" s="347">
        <v>0.29</v>
      </c>
      <c r="AP78" s="346"/>
      <c r="AQ78" s="348">
        <f t="shared" si="10"/>
        <v>0.29</v>
      </c>
      <c r="AR78" s="340"/>
    </row>
    <row r="79" spans="1:44" s="289" customFormat="1" ht="15">
      <c r="A79" s="341" t="s">
        <v>187</v>
      </c>
      <c r="B79" s="342" t="s">
        <v>188</v>
      </c>
      <c r="C79" s="343"/>
      <c r="D79" s="343"/>
      <c r="E79" s="343">
        <v>0</v>
      </c>
      <c r="F79" s="345"/>
      <c r="G79" s="345">
        <v>2</v>
      </c>
      <c r="H79" s="345"/>
      <c r="I79" s="345">
        <f t="shared" si="22"/>
        <v>2</v>
      </c>
      <c r="J79" s="345"/>
      <c r="K79" s="343"/>
      <c r="L79" s="345"/>
      <c r="M79" s="343">
        <v>0</v>
      </c>
      <c r="N79" s="345"/>
      <c r="O79" s="345">
        <v>1.26</v>
      </c>
      <c r="P79" s="345"/>
      <c r="Q79" s="345">
        <f t="shared" si="23"/>
        <v>1.26</v>
      </c>
      <c r="R79" s="345"/>
      <c r="S79" s="345">
        <f t="shared" si="9"/>
        <v>1.2991525423728816</v>
      </c>
      <c r="T79" s="344"/>
      <c r="U79" s="344"/>
      <c r="V79" s="345"/>
      <c r="W79" s="345"/>
      <c r="X79" s="344"/>
      <c r="Y79" s="344"/>
      <c r="Z79" s="343"/>
      <c r="AA79" s="345"/>
      <c r="AB79" s="345">
        <f t="shared" si="24"/>
        <v>0</v>
      </c>
      <c r="AC79" s="345"/>
      <c r="AD79" s="343">
        <v>0</v>
      </c>
      <c r="AE79" s="345"/>
      <c r="AF79" s="345">
        <v>2</v>
      </c>
      <c r="AG79" s="345"/>
      <c r="AH79" s="345">
        <f t="shared" si="25"/>
        <v>2</v>
      </c>
      <c r="AI79" s="345"/>
      <c r="AJ79" s="346"/>
      <c r="AK79" s="346"/>
      <c r="AL79" s="346"/>
      <c r="AM79" s="346"/>
      <c r="AN79" s="347">
        <f t="shared" si="8"/>
        <v>0</v>
      </c>
      <c r="AO79" s="347">
        <v>0.29</v>
      </c>
      <c r="AP79" s="346">
        <v>1.243</v>
      </c>
      <c r="AQ79" s="348">
        <f t="shared" si="10"/>
        <v>1.5330000000000001</v>
      </c>
      <c r="AR79" s="340"/>
    </row>
    <row r="80" spans="1:44" s="289" customFormat="1" ht="15">
      <c r="A80" s="341" t="s">
        <v>189</v>
      </c>
      <c r="B80" s="342" t="s">
        <v>190</v>
      </c>
      <c r="C80" s="343"/>
      <c r="D80" s="343"/>
      <c r="E80" s="343">
        <v>1.26</v>
      </c>
      <c r="F80" s="345"/>
      <c r="G80" s="345"/>
      <c r="H80" s="345"/>
      <c r="I80" s="345">
        <f t="shared" si="22"/>
        <v>1.26</v>
      </c>
      <c r="J80" s="345"/>
      <c r="K80" s="343"/>
      <c r="L80" s="345"/>
      <c r="M80" s="343">
        <v>1.26</v>
      </c>
      <c r="N80" s="345"/>
      <c r="O80" s="345"/>
      <c r="P80" s="345"/>
      <c r="Q80" s="345">
        <f t="shared" si="23"/>
        <v>1.26</v>
      </c>
      <c r="R80" s="345"/>
      <c r="S80" s="345">
        <f t="shared" si="9"/>
        <v>1.5254237288135595</v>
      </c>
      <c r="T80" s="344"/>
      <c r="U80" s="344"/>
      <c r="V80" s="345"/>
      <c r="W80" s="345"/>
      <c r="X80" s="344"/>
      <c r="Y80" s="344"/>
      <c r="Z80" s="343"/>
      <c r="AA80" s="345"/>
      <c r="AB80" s="345">
        <f t="shared" si="24"/>
        <v>0</v>
      </c>
      <c r="AC80" s="345"/>
      <c r="AD80" s="343">
        <v>1.26</v>
      </c>
      <c r="AE80" s="345"/>
      <c r="AF80" s="345"/>
      <c r="AG80" s="345"/>
      <c r="AH80" s="345">
        <f t="shared" si="25"/>
        <v>1.26</v>
      </c>
      <c r="AI80" s="345"/>
      <c r="AJ80" s="346"/>
      <c r="AK80" s="346"/>
      <c r="AL80" s="346"/>
      <c r="AM80" s="346"/>
      <c r="AN80" s="347">
        <f t="shared" si="8"/>
        <v>0</v>
      </c>
      <c r="AO80" s="347">
        <v>1.8</v>
      </c>
      <c r="AP80" s="346"/>
      <c r="AQ80" s="348">
        <f t="shared" si="10"/>
        <v>1.8</v>
      </c>
      <c r="AR80" s="340"/>
    </row>
    <row r="81" spans="1:44" s="289" customFormat="1" ht="15">
      <c r="A81" s="341" t="s">
        <v>191</v>
      </c>
      <c r="B81" s="358" t="s">
        <v>192</v>
      </c>
      <c r="C81" s="343"/>
      <c r="D81" s="343"/>
      <c r="E81" s="343">
        <v>2</v>
      </c>
      <c r="F81" s="345"/>
      <c r="G81" s="345"/>
      <c r="H81" s="345"/>
      <c r="I81" s="345">
        <f t="shared" si="22"/>
        <v>2</v>
      </c>
      <c r="J81" s="345"/>
      <c r="K81" s="343"/>
      <c r="L81" s="345"/>
      <c r="M81" s="343">
        <v>2</v>
      </c>
      <c r="N81" s="345"/>
      <c r="O81" s="345"/>
      <c r="P81" s="345"/>
      <c r="Q81" s="345">
        <f t="shared" si="23"/>
        <v>2</v>
      </c>
      <c r="R81" s="345"/>
      <c r="S81" s="345">
        <f t="shared" si="9"/>
        <v>0.2627118644067797</v>
      </c>
      <c r="T81" s="344"/>
      <c r="U81" s="344"/>
      <c r="V81" s="345"/>
      <c r="W81" s="345"/>
      <c r="X81" s="344"/>
      <c r="Y81" s="344"/>
      <c r="Z81" s="343"/>
      <c r="AA81" s="345"/>
      <c r="AB81" s="345">
        <f t="shared" si="24"/>
        <v>0</v>
      </c>
      <c r="AC81" s="345"/>
      <c r="AD81" s="343">
        <v>2</v>
      </c>
      <c r="AE81" s="345"/>
      <c r="AF81" s="345"/>
      <c r="AG81" s="345"/>
      <c r="AH81" s="345">
        <f t="shared" si="25"/>
        <v>2</v>
      </c>
      <c r="AI81" s="345"/>
      <c r="AJ81" s="346"/>
      <c r="AK81" s="346"/>
      <c r="AL81" s="346"/>
      <c r="AM81" s="346"/>
      <c r="AN81" s="347">
        <f t="shared" si="8"/>
        <v>0</v>
      </c>
      <c r="AO81" s="347">
        <v>0.31</v>
      </c>
      <c r="AP81" s="346"/>
      <c r="AQ81" s="348">
        <f t="shared" si="10"/>
        <v>0.31</v>
      </c>
      <c r="AR81" s="340"/>
    </row>
    <row r="82" spans="1:44" s="289" customFormat="1" ht="15">
      <c r="A82" s="341" t="s">
        <v>193</v>
      </c>
      <c r="B82" s="342" t="s">
        <v>194</v>
      </c>
      <c r="C82" s="343"/>
      <c r="D82" s="343"/>
      <c r="E82" s="343">
        <v>2</v>
      </c>
      <c r="F82" s="345"/>
      <c r="G82" s="345"/>
      <c r="H82" s="345"/>
      <c r="I82" s="345">
        <f t="shared" si="22"/>
        <v>2</v>
      </c>
      <c r="J82" s="345"/>
      <c r="K82" s="343"/>
      <c r="L82" s="345"/>
      <c r="M82" s="343">
        <v>2</v>
      </c>
      <c r="N82" s="345"/>
      <c r="O82" s="345"/>
      <c r="P82" s="345"/>
      <c r="Q82" s="345">
        <f t="shared" si="23"/>
        <v>2</v>
      </c>
      <c r="R82" s="345"/>
      <c r="S82" s="345">
        <f t="shared" si="9"/>
        <v>1.5423728813559323</v>
      </c>
      <c r="T82" s="344"/>
      <c r="U82" s="344"/>
      <c r="V82" s="345"/>
      <c r="W82" s="345"/>
      <c r="X82" s="344"/>
      <c r="Y82" s="344"/>
      <c r="Z82" s="343"/>
      <c r="AA82" s="345"/>
      <c r="AB82" s="345">
        <f t="shared" si="24"/>
        <v>0</v>
      </c>
      <c r="AC82" s="345"/>
      <c r="AD82" s="343">
        <v>2</v>
      </c>
      <c r="AE82" s="345"/>
      <c r="AF82" s="345"/>
      <c r="AG82" s="345"/>
      <c r="AH82" s="345">
        <f t="shared" si="25"/>
        <v>2</v>
      </c>
      <c r="AI82" s="345"/>
      <c r="AJ82" s="346"/>
      <c r="AK82" s="346"/>
      <c r="AL82" s="346"/>
      <c r="AM82" s="346"/>
      <c r="AN82" s="347">
        <f t="shared" si="8"/>
        <v>0</v>
      </c>
      <c r="AO82" s="347">
        <v>1.82</v>
      </c>
      <c r="AP82" s="346"/>
      <c r="AQ82" s="348">
        <f t="shared" si="10"/>
        <v>1.82</v>
      </c>
      <c r="AR82" s="340"/>
    </row>
    <row r="83" spans="1:44" s="289" customFormat="1" ht="15">
      <c r="A83" s="341" t="s">
        <v>195</v>
      </c>
      <c r="B83" s="342" t="s">
        <v>196</v>
      </c>
      <c r="C83" s="343"/>
      <c r="D83" s="343"/>
      <c r="E83" s="343">
        <v>2</v>
      </c>
      <c r="F83" s="345"/>
      <c r="G83" s="345"/>
      <c r="H83" s="345"/>
      <c r="I83" s="345">
        <f t="shared" si="22"/>
        <v>2</v>
      </c>
      <c r="J83" s="345"/>
      <c r="K83" s="343"/>
      <c r="L83" s="345"/>
      <c r="M83" s="343">
        <v>2</v>
      </c>
      <c r="N83" s="345"/>
      <c r="O83" s="345"/>
      <c r="P83" s="345"/>
      <c r="Q83" s="345">
        <f t="shared" si="23"/>
        <v>2</v>
      </c>
      <c r="R83" s="345"/>
      <c r="S83" s="345">
        <f t="shared" si="9"/>
        <v>1.457627118644068</v>
      </c>
      <c r="T83" s="344"/>
      <c r="U83" s="344"/>
      <c r="V83" s="345"/>
      <c r="W83" s="345"/>
      <c r="X83" s="344"/>
      <c r="Y83" s="344"/>
      <c r="Z83" s="343"/>
      <c r="AA83" s="345"/>
      <c r="AB83" s="345">
        <f t="shared" si="24"/>
        <v>0</v>
      </c>
      <c r="AC83" s="345"/>
      <c r="AD83" s="343">
        <v>2</v>
      </c>
      <c r="AE83" s="345"/>
      <c r="AF83" s="345"/>
      <c r="AG83" s="345"/>
      <c r="AH83" s="345">
        <f t="shared" si="25"/>
        <v>2</v>
      </c>
      <c r="AI83" s="345"/>
      <c r="AJ83" s="346"/>
      <c r="AK83" s="346"/>
      <c r="AL83" s="346"/>
      <c r="AM83" s="346"/>
      <c r="AN83" s="347">
        <f t="shared" si="8"/>
        <v>0</v>
      </c>
      <c r="AO83" s="347">
        <v>1.72</v>
      </c>
      <c r="AP83" s="346"/>
      <c r="AQ83" s="348">
        <f t="shared" si="10"/>
        <v>1.72</v>
      </c>
      <c r="AR83" s="340"/>
    </row>
    <row r="84" spans="1:44" s="289" customFormat="1" ht="15">
      <c r="A84" s="341" t="s">
        <v>197</v>
      </c>
      <c r="B84" s="342" t="s">
        <v>198</v>
      </c>
      <c r="C84" s="343"/>
      <c r="D84" s="343"/>
      <c r="E84" s="343">
        <v>2</v>
      </c>
      <c r="F84" s="345"/>
      <c r="G84" s="345"/>
      <c r="H84" s="345"/>
      <c r="I84" s="345">
        <f t="shared" si="22"/>
        <v>2</v>
      </c>
      <c r="J84" s="345"/>
      <c r="K84" s="343"/>
      <c r="L84" s="345"/>
      <c r="M84" s="343">
        <v>2</v>
      </c>
      <c r="N84" s="345"/>
      <c r="O84" s="345"/>
      <c r="P84" s="345"/>
      <c r="Q84" s="345">
        <f t="shared" si="23"/>
        <v>2</v>
      </c>
      <c r="R84" s="345"/>
      <c r="S84" s="345">
        <f t="shared" si="9"/>
        <v>0.2542372881355932</v>
      </c>
      <c r="T84" s="344"/>
      <c r="U84" s="344"/>
      <c r="V84" s="345"/>
      <c r="W84" s="345"/>
      <c r="X84" s="344"/>
      <c r="Y84" s="344"/>
      <c r="Z84" s="343"/>
      <c r="AA84" s="345"/>
      <c r="AB84" s="345">
        <f t="shared" si="24"/>
        <v>0</v>
      </c>
      <c r="AC84" s="345"/>
      <c r="AD84" s="343">
        <v>2</v>
      </c>
      <c r="AE84" s="345"/>
      <c r="AF84" s="345"/>
      <c r="AG84" s="345"/>
      <c r="AH84" s="345">
        <f t="shared" si="25"/>
        <v>2</v>
      </c>
      <c r="AI84" s="345"/>
      <c r="AJ84" s="346"/>
      <c r="AK84" s="346"/>
      <c r="AL84" s="346"/>
      <c r="AM84" s="346"/>
      <c r="AN84" s="347">
        <f t="shared" si="8"/>
        <v>0</v>
      </c>
      <c r="AO84" s="347">
        <v>0.3</v>
      </c>
      <c r="AP84" s="346"/>
      <c r="AQ84" s="348">
        <f t="shared" si="10"/>
        <v>0.3</v>
      </c>
      <c r="AR84" s="340"/>
    </row>
    <row r="85" spans="1:44" s="289" customFormat="1" ht="15">
      <c r="A85" s="341" t="s">
        <v>199</v>
      </c>
      <c r="B85" s="342" t="s">
        <v>200</v>
      </c>
      <c r="C85" s="343"/>
      <c r="D85" s="343"/>
      <c r="E85" s="343">
        <v>1.26</v>
      </c>
      <c r="F85" s="345"/>
      <c r="G85" s="345"/>
      <c r="H85" s="345"/>
      <c r="I85" s="345">
        <f t="shared" si="22"/>
        <v>1.26</v>
      </c>
      <c r="J85" s="345"/>
      <c r="K85" s="343"/>
      <c r="L85" s="345"/>
      <c r="M85" s="343">
        <v>1.26</v>
      </c>
      <c r="N85" s="345"/>
      <c r="O85" s="345"/>
      <c r="P85" s="345"/>
      <c r="Q85" s="345">
        <f t="shared" si="23"/>
        <v>1.26</v>
      </c>
      <c r="R85" s="345"/>
      <c r="S85" s="345">
        <f t="shared" si="9"/>
        <v>1.771186440677966</v>
      </c>
      <c r="T85" s="344"/>
      <c r="U85" s="344"/>
      <c r="V85" s="345"/>
      <c r="W85" s="345"/>
      <c r="X85" s="344"/>
      <c r="Y85" s="344"/>
      <c r="Z85" s="343"/>
      <c r="AA85" s="345"/>
      <c r="AB85" s="345">
        <f t="shared" si="24"/>
        <v>0</v>
      </c>
      <c r="AC85" s="345"/>
      <c r="AD85" s="343">
        <v>1.26</v>
      </c>
      <c r="AE85" s="345"/>
      <c r="AF85" s="345"/>
      <c r="AG85" s="345"/>
      <c r="AH85" s="345">
        <f t="shared" si="25"/>
        <v>1.26</v>
      </c>
      <c r="AI85" s="345"/>
      <c r="AJ85" s="346"/>
      <c r="AK85" s="346"/>
      <c r="AL85" s="346"/>
      <c r="AM85" s="347"/>
      <c r="AN85" s="347">
        <f t="shared" si="8"/>
        <v>0</v>
      </c>
      <c r="AO85" s="347">
        <v>2.09</v>
      </c>
      <c r="AP85" s="346"/>
      <c r="AQ85" s="348">
        <f t="shared" si="10"/>
        <v>2.09</v>
      </c>
      <c r="AR85" s="340"/>
    </row>
    <row r="86" spans="1:44" s="289" customFormat="1" ht="15">
      <c r="A86" s="341" t="s">
        <v>201</v>
      </c>
      <c r="B86" s="342" t="s">
        <v>202</v>
      </c>
      <c r="C86" s="343"/>
      <c r="D86" s="343"/>
      <c r="E86" s="343">
        <v>1.26</v>
      </c>
      <c r="F86" s="345"/>
      <c r="G86" s="345"/>
      <c r="H86" s="345"/>
      <c r="I86" s="345">
        <f t="shared" si="22"/>
        <v>1.26</v>
      </c>
      <c r="J86" s="345"/>
      <c r="K86" s="343"/>
      <c r="L86" s="345"/>
      <c r="M86" s="343">
        <v>1.26</v>
      </c>
      <c r="N86" s="345"/>
      <c r="O86" s="345"/>
      <c r="P86" s="345"/>
      <c r="Q86" s="345">
        <f t="shared" si="23"/>
        <v>1.26</v>
      </c>
      <c r="R86" s="345"/>
      <c r="S86" s="345">
        <f t="shared" si="9"/>
        <v>1.9559322033898305</v>
      </c>
      <c r="T86" s="344"/>
      <c r="U86" s="344"/>
      <c r="V86" s="345"/>
      <c r="W86" s="345"/>
      <c r="X86" s="344"/>
      <c r="Y86" s="344"/>
      <c r="Z86" s="343"/>
      <c r="AA86" s="345"/>
      <c r="AB86" s="345">
        <f t="shared" si="24"/>
        <v>0</v>
      </c>
      <c r="AC86" s="345"/>
      <c r="AD86" s="343">
        <v>1.26</v>
      </c>
      <c r="AE86" s="345"/>
      <c r="AF86" s="345"/>
      <c r="AG86" s="345"/>
      <c r="AH86" s="345">
        <f t="shared" si="25"/>
        <v>1.26</v>
      </c>
      <c r="AI86" s="345"/>
      <c r="AJ86" s="346"/>
      <c r="AK86" s="346"/>
      <c r="AL86" s="346"/>
      <c r="AM86" s="347"/>
      <c r="AN86" s="347">
        <f t="shared" si="8"/>
        <v>0</v>
      </c>
      <c r="AO86" s="347">
        <v>2.308</v>
      </c>
      <c r="AP86" s="346"/>
      <c r="AQ86" s="348">
        <f t="shared" si="10"/>
        <v>2.308</v>
      </c>
      <c r="AR86" s="340"/>
    </row>
    <row r="87" spans="1:44" s="289" customFormat="1" ht="15">
      <c r="A87" s="341" t="s">
        <v>203</v>
      </c>
      <c r="B87" s="342" t="s">
        <v>204</v>
      </c>
      <c r="C87" s="343"/>
      <c r="D87" s="343"/>
      <c r="E87" s="343"/>
      <c r="F87" s="345"/>
      <c r="G87" s="345">
        <v>2</v>
      </c>
      <c r="H87" s="345"/>
      <c r="I87" s="345">
        <f t="shared" si="22"/>
        <v>2</v>
      </c>
      <c r="J87" s="345"/>
      <c r="K87" s="343"/>
      <c r="L87" s="345"/>
      <c r="M87" s="343"/>
      <c r="N87" s="345"/>
      <c r="O87" s="345">
        <v>2</v>
      </c>
      <c r="P87" s="345"/>
      <c r="Q87" s="345">
        <f t="shared" si="23"/>
        <v>2</v>
      </c>
      <c r="R87" s="345"/>
      <c r="S87" s="345">
        <f t="shared" si="9"/>
        <v>1.2513559322033898</v>
      </c>
      <c r="T87" s="344"/>
      <c r="U87" s="344"/>
      <c r="V87" s="345"/>
      <c r="W87" s="345"/>
      <c r="X87" s="344"/>
      <c r="Y87" s="344"/>
      <c r="Z87" s="343"/>
      <c r="AA87" s="345"/>
      <c r="AB87" s="345">
        <f t="shared" si="24"/>
        <v>0</v>
      </c>
      <c r="AC87" s="345"/>
      <c r="AD87" s="343"/>
      <c r="AE87" s="345"/>
      <c r="AF87" s="345">
        <v>2</v>
      </c>
      <c r="AG87" s="345"/>
      <c r="AH87" s="345">
        <f t="shared" si="25"/>
        <v>2</v>
      </c>
      <c r="AI87" s="345"/>
      <c r="AJ87" s="346"/>
      <c r="AK87" s="346"/>
      <c r="AL87" s="346"/>
      <c r="AM87" s="347"/>
      <c r="AN87" s="347">
        <f t="shared" si="8"/>
        <v>0</v>
      </c>
      <c r="AO87" s="347">
        <v>1.04</v>
      </c>
      <c r="AP87" s="346">
        <f>(0.35+0.02)*1.18</f>
        <v>0.4366</v>
      </c>
      <c r="AQ87" s="348">
        <f t="shared" si="10"/>
        <v>1.4766</v>
      </c>
      <c r="AR87" s="340"/>
    </row>
    <row r="88" spans="1:44" s="289" customFormat="1" ht="15">
      <c r="A88" s="341" t="s">
        <v>205</v>
      </c>
      <c r="B88" s="355" t="s">
        <v>206</v>
      </c>
      <c r="C88" s="343"/>
      <c r="D88" s="343"/>
      <c r="E88" s="344"/>
      <c r="F88" s="345"/>
      <c r="G88" s="345">
        <v>2</v>
      </c>
      <c r="H88" s="345"/>
      <c r="I88" s="345">
        <f t="shared" si="22"/>
        <v>2</v>
      </c>
      <c r="J88" s="345"/>
      <c r="K88" s="343"/>
      <c r="L88" s="345"/>
      <c r="M88" s="345"/>
      <c r="N88" s="345"/>
      <c r="O88" s="345">
        <v>2</v>
      </c>
      <c r="P88" s="345"/>
      <c r="Q88" s="345">
        <f t="shared" si="23"/>
        <v>2</v>
      </c>
      <c r="R88" s="345"/>
      <c r="S88" s="345">
        <f t="shared" si="9"/>
        <v>2.3649152542372884</v>
      </c>
      <c r="T88" s="344"/>
      <c r="U88" s="344"/>
      <c r="V88" s="345"/>
      <c r="W88" s="345"/>
      <c r="X88" s="344"/>
      <c r="Y88" s="344"/>
      <c r="Z88" s="343"/>
      <c r="AA88" s="345"/>
      <c r="AB88" s="345">
        <f t="shared" si="24"/>
        <v>0</v>
      </c>
      <c r="AC88" s="345"/>
      <c r="AD88" s="344"/>
      <c r="AE88" s="345"/>
      <c r="AF88" s="345">
        <v>2</v>
      </c>
      <c r="AG88" s="345"/>
      <c r="AH88" s="345">
        <f t="shared" si="25"/>
        <v>2</v>
      </c>
      <c r="AI88" s="345"/>
      <c r="AJ88" s="346"/>
      <c r="AK88" s="346"/>
      <c r="AL88" s="346"/>
      <c r="AM88" s="347"/>
      <c r="AN88" s="347">
        <f t="shared" si="8"/>
        <v>0</v>
      </c>
      <c r="AO88" s="346">
        <v>0.82</v>
      </c>
      <c r="AP88" s="346">
        <f>(1.57+0.1)*1.18</f>
        <v>1.9706000000000001</v>
      </c>
      <c r="AQ88" s="348">
        <f t="shared" si="10"/>
        <v>2.7906</v>
      </c>
      <c r="AR88" s="340"/>
    </row>
    <row r="89" spans="1:44" s="289" customFormat="1" ht="15">
      <c r="A89" s="341" t="s">
        <v>207</v>
      </c>
      <c r="B89" s="342" t="s">
        <v>208</v>
      </c>
      <c r="C89" s="343"/>
      <c r="D89" s="343"/>
      <c r="E89" s="344">
        <v>2</v>
      </c>
      <c r="F89" s="345"/>
      <c r="G89" s="345"/>
      <c r="H89" s="345"/>
      <c r="I89" s="345">
        <f t="shared" si="22"/>
        <v>2</v>
      </c>
      <c r="J89" s="345"/>
      <c r="K89" s="343"/>
      <c r="L89" s="345"/>
      <c r="M89" s="345">
        <v>2</v>
      </c>
      <c r="N89" s="345"/>
      <c r="O89" s="345"/>
      <c r="P89" s="345"/>
      <c r="Q89" s="345">
        <f t="shared" si="23"/>
        <v>2</v>
      </c>
      <c r="R89" s="345"/>
      <c r="S89" s="345">
        <f t="shared" si="9"/>
        <v>1.3813559322033897</v>
      </c>
      <c r="T89" s="344"/>
      <c r="U89" s="344"/>
      <c r="V89" s="345"/>
      <c r="W89" s="345"/>
      <c r="X89" s="344"/>
      <c r="Y89" s="344"/>
      <c r="Z89" s="343"/>
      <c r="AA89" s="345"/>
      <c r="AB89" s="345">
        <f t="shared" si="24"/>
        <v>0</v>
      </c>
      <c r="AC89" s="345"/>
      <c r="AD89" s="344">
        <v>2</v>
      </c>
      <c r="AE89" s="345"/>
      <c r="AF89" s="345"/>
      <c r="AG89" s="345"/>
      <c r="AH89" s="345">
        <f t="shared" si="25"/>
        <v>2</v>
      </c>
      <c r="AI89" s="345"/>
      <c r="AJ89" s="346"/>
      <c r="AK89" s="346"/>
      <c r="AL89" s="346"/>
      <c r="AM89" s="346"/>
      <c r="AN89" s="347">
        <f t="shared" si="8"/>
        <v>0</v>
      </c>
      <c r="AO89" s="346">
        <v>1.63</v>
      </c>
      <c r="AP89" s="346"/>
      <c r="AQ89" s="348">
        <f t="shared" si="10"/>
        <v>1.63</v>
      </c>
      <c r="AR89" s="340"/>
    </row>
    <row r="90" spans="1:44" s="289" customFormat="1" ht="15">
      <c r="A90" s="341" t="s">
        <v>209</v>
      </c>
      <c r="B90" s="355" t="s">
        <v>210</v>
      </c>
      <c r="C90" s="343"/>
      <c r="D90" s="343"/>
      <c r="E90" s="344">
        <v>1.26</v>
      </c>
      <c r="F90" s="345"/>
      <c r="G90" s="345"/>
      <c r="H90" s="345"/>
      <c r="I90" s="345">
        <f t="shared" si="22"/>
        <v>1.26</v>
      </c>
      <c r="J90" s="345"/>
      <c r="K90" s="343"/>
      <c r="L90" s="345"/>
      <c r="M90" s="345">
        <v>1.26</v>
      </c>
      <c r="N90" s="345"/>
      <c r="O90" s="345"/>
      <c r="P90" s="345"/>
      <c r="Q90" s="345">
        <f t="shared" si="23"/>
        <v>1.26</v>
      </c>
      <c r="R90" s="345"/>
      <c r="S90" s="345">
        <f t="shared" si="9"/>
        <v>0.8983050847457628</v>
      </c>
      <c r="T90" s="344"/>
      <c r="U90" s="344"/>
      <c r="V90" s="345"/>
      <c r="W90" s="345"/>
      <c r="X90" s="344"/>
      <c r="Y90" s="344"/>
      <c r="Z90" s="343"/>
      <c r="AA90" s="345"/>
      <c r="AB90" s="345">
        <f t="shared" si="24"/>
        <v>0</v>
      </c>
      <c r="AC90" s="345"/>
      <c r="AD90" s="344">
        <v>1.26</v>
      </c>
      <c r="AE90" s="345"/>
      <c r="AF90" s="345"/>
      <c r="AG90" s="345"/>
      <c r="AH90" s="345">
        <f t="shared" si="25"/>
        <v>1.26</v>
      </c>
      <c r="AI90" s="345"/>
      <c r="AJ90" s="346"/>
      <c r="AK90" s="346"/>
      <c r="AL90" s="346"/>
      <c r="AM90" s="346"/>
      <c r="AN90" s="347">
        <f t="shared" si="8"/>
        <v>0</v>
      </c>
      <c r="AO90" s="346">
        <v>1.06</v>
      </c>
      <c r="AP90" s="346"/>
      <c r="AQ90" s="348">
        <f t="shared" si="10"/>
        <v>1.06</v>
      </c>
      <c r="AR90" s="340"/>
    </row>
    <row r="91" spans="1:44" s="354" customFormat="1" ht="15">
      <c r="A91" s="341" t="s">
        <v>211</v>
      </c>
      <c r="B91" s="356" t="s">
        <v>212</v>
      </c>
      <c r="C91" s="343"/>
      <c r="D91" s="347"/>
      <c r="E91" s="343"/>
      <c r="F91" s="343"/>
      <c r="G91" s="343">
        <v>2</v>
      </c>
      <c r="H91" s="353"/>
      <c r="I91" s="345">
        <f t="shared" si="22"/>
        <v>2</v>
      </c>
      <c r="J91" s="353"/>
      <c r="K91" s="353"/>
      <c r="L91" s="353"/>
      <c r="M91" s="353"/>
      <c r="N91" s="353"/>
      <c r="O91" s="353">
        <v>2</v>
      </c>
      <c r="P91" s="353"/>
      <c r="Q91" s="345">
        <f t="shared" si="23"/>
        <v>2</v>
      </c>
      <c r="R91" s="345"/>
      <c r="S91" s="345">
        <f t="shared" si="9"/>
        <v>1.807627118644068</v>
      </c>
      <c r="T91" s="353"/>
      <c r="U91" s="353"/>
      <c r="V91" s="353"/>
      <c r="W91" s="353"/>
      <c r="X91" s="353"/>
      <c r="Y91" s="347"/>
      <c r="Z91" s="347"/>
      <c r="AA91" s="353"/>
      <c r="AB91" s="345">
        <f t="shared" si="24"/>
        <v>0</v>
      </c>
      <c r="AC91" s="353"/>
      <c r="AD91" s="353"/>
      <c r="AE91" s="353"/>
      <c r="AF91" s="353">
        <v>2</v>
      </c>
      <c r="AG91" s="353"/>
      <c r="AH91" s="345">
        <f t="shared" si="25"/>
        <v>2</v>
      </c>
      <c r="AI91" s="353"/>
      <c r="AJ91" s="343"/>
      <c r="AK91" s="343"/>
      <c r="AL91" s="343"/>
      <c r="AM91" s="343"/>
      <c r="AN91" s="347">
        <f t="shared" si="8"/>
        <v>0</v>
      </c>
      <c r="AO91" s="347">
        <v>0.17</v>
      </c>
      <c r="AP91" s="343">
        <v>1.963</v>
      </c>
      <c r="AQ91" s="348">
        <f t="shared" si="10"/>
        <v>2.133</v>
      </c>
      <c r="AR91" s="340"/>
    </row>
    <row r="92" spans="1:44" s="289" customFormat="1" ht="15">
      <c r="A92" s="341" t="s">
        <v>213</v>
      </c>
      <c r="B92" s="342" t="s">
        <v>214</v>
      </c>
      <c r="C92" s="343"/>
      <c r="D92" s="343"/>
      <c r="E92" s="344">
        <v>2</v>
      </c>
      <c r="F92" s="345"/>
      <c r="G92" s="345"/>
      <c r="H92" s="345"/>
      <c r="I92" s="345">
        <f t="shared" si="22"/>
        <v>2</v>
      </c>
      <c r="J92" s="345"/>
      <c r="K92" s="343"/>
      <c r="L92" s="345"/>
      <c r="M92" s="345">
        <v>2</v>
      </c>
      <c r="N92" s="345"/>
      <c r="O92" s="345"/>
      <c r="P92" s="345"/>
      <c r="Q92" s="345">
        <f t="shared" si="23"/>
        <v>2</v>
      </c>
      <c r="R92" s="345"/>
      <c r="S92" s="345">
        <f t="shared" si="9"/>
        <v>1.6186440677966103</v>
      </c>
      <c r="T92" s="344"/>
      <c r="U92" s="344"/>
      <c r="V92" s="345"/>
      <c r="W92" s="345"/>
      <c r="X92" s="344"/>
      <c r="Y92" s="344"/>
      <c r="Z92" s="343"/>
      <c r="AA92" s="345"/>
      <c r="AB92" s="345">
        <f t="shared" si="24"/>
        <v>0</v>
      </c>
      <c r="AC92" s="345"/>
      <c r="AD92" s="344">
        <v>2</v>
      </c>
      <c r="AE92" s="345"/>
      <c r="AF92" s="345"/>
      <c r="AG92" s="345"/>
      <c r="AH92" s="345">
        <f t="shared" si="25"/>
        <v>2</v>
      </c>
      <c r="AI92" s="345"/>
      <c r="AJ92" s="346"/>
      <c r="AK92" s="346"/>
      <c r="AL92" s="346"/>
      <c r="AM92" s="346"/>
      <c r="AN92" s="347">
        <f t="shared" si="8"/>
        <v>0</v>
      </c>
      <c r="AO92" s="346">
        <v>1.91</v>
      </c>
      <c r="AP92" s="346"/>
      <c r="AQ92" s="348">
        <f t="shared" si="10"/>
        <v>1.91</v>
      </c>
      <c r="AR92" s="340"/>
    </row>
    <row r="93" spans="1:44" s="289" customFormat="1" ht="15">
      <c r="A93" s="341" t="s">
        <v>215</v>
      </c>
      <c r="B93" s="342" t="s">
        <v>216</v>
      </c>
      <c r="C93" s="343"/>
      <c r="D93" s="343"/>
      <c r="E93" s="344">
        <v>1.26</v>
      </c>
      <c r="F93" s="345"/>
      <c r="G93" s="345"/>
      <c r="H93" s="345"/>
      <c r="I93" s="345">
        <f t="shared" si="22"/>
        <v>1.26</v>
      </c>
      <c r="J93" s="345"/>
      <c r="K93" s="343"/>
      <c r="L93" s="345"/>
      <c r="M93" s="345">
        <v>1.26</v>
      </c>
      <c r="N93" s="345"/>
      <c r="O93" s="345"/>
      <c r="P93" s="345"/>
      <c r="Q93" s="345">
        <f t="shared" si="23"/>
        <v>1.26</v>
      </c>
      <c r="R93" s="345"/>
      <c r="S93" s="345">
        <f t="shared" si="9"/>
        <v>0.3898305084745763</v>
      </c>
      <c r="T93" s="344"/>
      <c r="U93" s="344"/>
      <c r="V93" s="345"/>
      <c r="W93" s="345"/>
      <c r="X93" s="344"/>
      <c r="Y93" s="344"/>
      <c r="Z93" s="343"/>
      <c r="AA93" s="345"/>
      <c r="AB93" s="345">
        <f t="shared" si="24"/>
        <v>0</v>
      </c>
      <c r="AC93" s="345"/>
      <c r="AD93" s="344">
        <v>1.26</v>
      </c>
      <c r="AE93" s="345"/>
      <c r="AF93" s="345"/>
      <c r="AG93" s="345"/>
      <c r="AH93" s="345">
        <f t="shared" si="25"/>
        <v>1.26</v>
      </c>
      <c r="AI93" s="345"/>
      <c r="AJ93" s="346"/>
      <c r="AK93" s="346"/>
      <c r="AL93" s="346"/>
      <c r="AM93" s="346"/>
      <c r="AN93" s="347">
        <f t="shared" si="8"/>
        <v>0</v>
      </c>
      <c r="AO93" s="346">
        <v>0.46</v>
      </c>
      <c r="AP93" s="346"/>
      <c r="AQ93" s="348">
        <f t="shared" si="10"/>
        <v>0.46</v>
      </c>
      <c r="AR93" s="340"/>
    </row>
    <row r="94" spans="1:44" s="354" customFormat="1" ht="15">
      <c r="A94" s="341" t="s">
        <v>217</v>
      </c>
      <c r="B94" s="352" t="s">
        <v>218</v>
      </c>
      <c r="C94" s="353"/>
      <c r="D94" s="347"/>
      <c r="E94" s="347">
        <v>1.26</v>
      </c>
      <c r="F94" s="343"/>
      <c r="G94" s="343"/>
      <c r="H94" s="353"/>
      <c r="I94" s="345">
        <f t="shared" si="22"/>
        <v>1.26</v>
      </c>
      <c r="J94" s="353"/>
      <c r="K94" s="353"/>
      <c r="L94" s="353"/>
      <c r="M94" s="353">
        <f>E94</f>
        <v>1.26</v>
      </c>
      <c r="N94" s="353"/>
      <c r="O94" s="353"/>
      <c r="P94" s="353"/>
      <c r="Q94" s="345">
        <f t="shared" si="23"/>
        <v>1.26</v>
      </c>
      <c r="R94" s="345"/>
      <c r="S94" s="345">
        <f t="shared" si="9"/>
        <v>2.864406779661017</v>
      </c>
      <c r="T94" s="353"/>
      <c r="U94" s="353"/>
      <c r="V94" s="353"/>
      <c r="W94" s="353"/>
      <c r="X94" s="353"/>
      <c r="Y94" s="347"/>
      <c r="Z94" s="347"/>
      <c r="AA94" s="353"/>
      <c r="AB94" s="345">
        <f t="shared" si="24"/>
        <v>0</v>
      </c>
      <c r="AC94" s="353"/>
      <c r="AD94" s="353">
        <f>E94</f>
        <v>1.26</v>
      </c>
      <c r="AE94" s="353"/>
      <c r="AF94" s="353"/>
      <c r="AG94" s="353"/>
      <c r="AH94" s="345">
        <f t="shared" si="25"/>
        <v>1.26</v>
      </c>
      <c r="AI94" s="353"/>
      <c r="AJ94" s="343"/>
      <c r="AK94" s="343"/>
      <c r="AL94" s="343"/>
      <c r="AM94" s="343"/>
      <c r="AN94" s="347">
        <f t="shared" si="8"/>
        <v>0</v>
      </c>
      <c r="AO94" s="347">
        <v>2.23</v>
      </c>
      <c r="AP94" s="347">
        <f>'приложение 1.1'!V91</f>
        <v>1.15</v>
      </c>
      <c r="AQ94" s="348">
        <f t="shared" si="10"/>
        <v>3.38</v>
      </c>
      <c r="AR94" s="340"/>
    </row>
    <row r="95" spans="1:44" s="289" customFormat="1" ht="15">
      <c r="A95" s="341" t="s">
        <v>219</v>
      </c>
      <c r="B95" s="342" t="s">
        <v>220</v>
      </c>
      <c r="C95" s="343"/>
      <c r="D95" s="343"/>
      <c r="E95" s="344"/>
      <c r="F95" s="345"/>
      <c r="G95" s="345">
        <v>0.32</v>
      </c>
      <c r="H95" s="345"/>
      <c r="I95" s="345">
        <f t="shared" si="22"/>
        <v>0.32</v>
      </c>
      <c r="J95" s="345"/>
      <c r="K95" s="343"/>
      <c r="L95" s="345"/>
      <c r="M95" s="345"/>
      <c r="N95" s="345"/>
      <c r="O95" s="345">
        <v>0.32</v>
      </c>
      <c r="P95" s="345"/>
      <c r="Q95" s="345">
        <f t="shared" si="23"/>
        <v>0.32</v>
      </c>
      <c r="R95" s="345"/>
      <c r="S95" s="345">
        <f t="shared" si="9"/>
        <v>0.5593220338983051</v>
      </c>
      <c r="T95" s="344"/>
      <c r="U95" s="344"/>
      <c r="V95" s="345"/>
      <c r="W95" s="345"/>
      <c r="X95" s="344"/>
      <c r="Y95" s="344"/>
      <c r="Z95" s="343"/>
      <c r="AA95" s="345"/>
      <c r="AB95" s="345">
        <f t="shared" si="24"/>
        <v>0</v>
      </c>
      <c r="AC95" s="345"/>
      <c r="AD95" s="344"/>
      <c r="AE95" s="345"/>
      <c r="AF95" s="345">
        <v>0.32</v>
      </c>
      <c r="AG95" s="345"/>
      <c r="AH95" s="345">
        <f t="shared" si="25"/>
        <v>0.32</v>
      </c>
      <c r="AI95" s="345"/>
      <c r="AJ95" s="346"/>
      <c r="AK95" s="346"/>
      <c r="AL95" s="346"/>
      <c r="AM95" s="346"/>
      <c r="AN95" s="347">
        <f t="shared" si="8"/>
        <v>0</v>
      </c>
      <c r="AO95" s="346">
        <v>0.66</v>
      </c>
      <c r="AP95" s="347"/>
      <c r="AQ95" s="348">
        <f t="shared" si="10"/>
        <v>0.66</v>
      </c>
      <c r="AR95" s="340"/>
    </row>
    <row r="96" spans="1:44" s="289" customFormat="1" ht="15">
      <c r="A96" s="341" t="s">
        <v>221</v>
      </c>
      <c r="B96" s="359" t="s">
        <v>222</v>
      </c>
      <c r="C96" s="343"/>
      <c r="D96" s="343"/>
      <c r="E96" s="344">
        <v>1.26</v>
      </c>
      <c r="F96" s="345"/>
      <c r="G96" s="345"/>
      <c r="H96" s="345"/>
      <c r="I96" s="345">
        <f t="shared" si="22"/>
        <v>1.26</v>
      </c>
      <c r="J96" s="345"/>
      <c r="K96" s="343"/>
      <c r="L96" s="345"/>
      <c r="M96" s="345">
        <v>1.26</v>
      </c>
      <c r="N96" s="345"/>
      <c r="O96" s="345"/>
      <c r="P96" s="345"/>
      <c r="Q96" s="345">
        <f t="shared" si="23"/>
        <v>1.26</v>
      </c>
      <c r="R96" s="345"/>
      <c r="S96" s="345">
        <f t="shared" si="9"/>
        <v>1.3389830508474578</v>
      </c>
      <c r="T96" s="344"/>
      <c r="U96" s="344"/>
      <c r="V96" s="345"/>
      <c r="W96" s="345"/>
      <c r="X96" s="344"/>
      <c r="Y96" s="344"/>
      <c r="Z96" s="343"/>
      <c r="AA96" s="345"/>
      <c r="AB96" s="345">
        <f t="shared" si="24"/>
        <v>0</v>
      </c>
      <c r="AC96" s="345"/>
      <c r="AD96" s="344">
        <v>1.26</v>
      </c>
      <c r="AE96" s="345"/>
      <c r="AF96" s="345"/>
      <c r="AG96" s="345"/>
      <c r="AH96" s="345">
        <f t="shared" si="25"/>
        <v>1.26</v>
      </c>
      <c r="AI96" s="345"/>
      <c r="AJ96" s="346"/>
      <c r="AK96" s="346"/>
      <c r="AL96" s="346"/>
      <c r="AM96" s="346"/>
      <c r="AN96" s="347">
        <f t="shared" si="8"/>
        <v>0</v>
      </c>
      <c r="AO96" s="346">
        <v>1.58</v>
      </c>
      <c r="AP96" s="346"/>
      <c r="AQ96" s="348">
        <f t="shared" si="10"/>
        <v>1.58</v>
      </c>
      <c r="AR96" s="340"/>
    </row>
    <row r="97" spans="1:44" s="289" customFormat="1" ht="15">
      <c r="A97" s="341" t="s">
        <v>223</v>
      </c>
      <c r="B97" s="359" t="s">
        <v>224</v>
      </c>
      <c r="C97" s="343"/>
      <c r="D97" s="343"/>
      <c r="E97" s="344">
        <v>1.26</v>
      </c>
      <c r="F97" s="345"/>
      <c r="G97" s="345"/>
      <c r="H97" s="345"/>
      <c r="I97" s="345">
        <f t="shared" si="22"/>
        <v>1.26</v>
      </c>
      <c r="J97" s="345"/>
      <c r="K97" s="343"/>
      <c r="L97" s="345"/>
      <c r="M97" s="345">
        <v>1.26</v>
      </c>
      <c r="N97" s="345"/>
      <c r="O97" s="345"/>
      <c r="P97" s="345"/>
      <c r="Q97" s="345">
        <f t="shared" si="23"/>
        <v>1.26</v>
      </c>
      <c r="R97" s="345"/>
      <c r="S97" s="345">
        <f t="shared" si="9"/>
        <v>0.05932203389830509</v>
      </c>
      <c r="T97" s="344"/>
      <c r="U97" s="344"/>
      <c r="V97" s="345"/>
      <c r="W97" s="345"/>
      <c r="X97" s="344"/>
      <c r="Y97" s="344"/>
      <c r="Z97" s="343"/>
      <c r="AA97" s="345"/>
      <c r="AB97" s="345">
        <f t="shared" si="24"/>
        <v>0</v>
      </c>
      <c r="AC97" s="345"/>
      <c r="AD97" s="344">
        <v>1.26</v>
      </c>
      <c r="AE97" s="345"/>
      <c r="AF97" s="345"/>
      <c r="AG97" s="345"/>
      <c r="AH97" s="345">
        <f t="shared" si="25"/>
        <v>1.26</v>
      </c>
      <c r="AI97" s="345"/>
      <c r="AJ97" s="347"/>
      <c r="AK97" s="346"/>
      <c r="AL97" s="346"/>
      <c r="AM97" s="346"/>
      <c r="AN97" s="347">
        <f t="shared" si="8"/>
        <v>0</v>
      </c>
      <c r="AO97" s="346">
        <v>0.07</v>
      </c>
      <c r="AP97" s="346"/>
      <c r="AQ97" s="348">
        <f t="shared" si="10"/>
        <v>0.07</v>
      </c>
      <c r="AR97" s="340"/>
    </row>
    <row r="98" spans="1:44" s="289" customFormat="1" ht="15">
      <c r="A98" s="341" t="s">
        <v>225</v>
      </c>
      <c r="B98" s="359" t="s">
        <v>226</v>
      </c>
      <c r="C98" s="343"/>
      <c r="D98" s="343"/>
      <c r="E98" s="344"/>
      <c r="F98" s="345"/>
      <c r="G98" s="345">
        <v>1.26</v>
      </c>
      <c r="H98" s="345"/>
      <c r="I98" s="345">
        <f t="shared" si="22"/>
        <v>1.26</v>
      </c>
      <c r="J98" s="345"/>
      <c r="K98" s="343"/>
      <c r="L98" s="345"/>
      <c r="M98" s="345"/>
      <c r="N98" s="345"/>
      <c r="O98" s="345">
        <v>1.26</v>
      </c>
      <c r="P98" s="345"/>
      <c r="Q98" s="345">
        <f t="shared" si="23"/>
        <v>1.26</v>
      </c>
      <c r="R98" s="345"/>
      <c r="S98" s="345">
        <f t="shared" si="9"/>
        <v>0.7193220338983051</v>
      </c>
      <c r="T98" s="343"/>
      <c r="U98" s="344"/>
      <c r="V98" s="345"/>
      <c r="W98" s="345"/>
      <c r="X98" s="344"/>
      <c r="Y98" s="344"/>
      <c r="Z98" s="343"/>
      <c r="AA98" s="345"/>
      <c r="AB98" s="345">
        <f t="shared" si="24"/>
        <v>0</v>
      </c>
      <c r="AC98" s="345"/>
      <c r="AD98" s="344"/>
      <c r="AE98" s="345"/>
      <c r="AF98" s="345">
        <v>1.26</v>
      </c>
      <c r="AG98" s="345"/>
      <c r="AH98" s="345">
        <f t="shared" si="25"/>
        <v>1.26</v>
      </c>
      <c r="AI98" s="345"/>
      <c r="AJ98" s="347"/>
      <c r="AK98" s="346"/>
      <c r="AL98" s="346"/>
      <c r="AM98" s="346"/>
      <c r="AN98" s="347">
        <f t="shared" si="8"/>
        <v>0</v>
      </c>
      <c r="AO98" s="346">
        <v>0.07</v>
      </c>
      <c r="AP98" s="347">
        <f>(0.62+0.04)*1.18</f>
        <v>0.7788</v>
      </c>
      <c r="AQ98" s="348">
        <f t="shared" si="10"/>
        <v>0.8488</v>
      </c>
      <c r="AR98" s="340"/>
    </row>
    <row r="99" spans="1:44" s="354" customFormat="1" ht="15">
      <c r="A99" s="341" t="s">
        <v>227</v>
      </c>
      <c r="B99" s="352" t="s">
        <v>228</v>
      </c>
      <c r="C99" s="343"/>
      <c r="D99" s="347"/>
      <c r="E99" s="343">
        <v>2</v>
      </c>
      <c r="F99" s="343"/>
      <c r="G99" s="343"/>
      <c r="H99" s="353"/>
      <c r="I99" s="345">
        <f t="shared" si="22"/>
        <v>2</v>
      </c>
      <c r="J99" s="353"/>
      <c r="K99" s="353"/>
      <c r="L99" s="353"/>
      <c r="M99" s="353">
        <f>E99</f>
        <v>2</v>
      </c>
      <c r="N99" s="353"/>
      <c r="O99" s="353"/>
      <c r="P99" s="353"/>
      <c r="Q99" s="345">
        <f t="shared" si="23"/>
        <v>2</v>
      </c>
      <c r="R99" s="345"/>
      <c r="S99" s="345">
        <f t="shared" si="9"/>
        <v>1.8900000000000001</v>
      </c>
      <c r="T99" s="353"/>
      <c r="U99" s="353"/>
      <c r="V99" s="353"/>
      <c r="W99" s="353"/>
      <c r="X99" s="353"/>
      <c r="Y99" s="347"/>
      <c r="Z99" s="347"/>
      <c r="AA99" s="353"/>
      <c r="AB99" s="345">
        <f t="shared" si="24"/>
        <v>0</v>
      </c>
      <c r="AC99" s="353"/>
      <c r="AD99" s="353">
        <f>E99</f>
        <v>2</v>
      </c>
      <c r="AE99" s="353"/>
      <c r="AF99" s="353"/>
      <c r="AG99" s="353"/>
      <c r="AH99" s="345">
        <f t="shared" si="25"/>
        <v>2</v>
      </c>
      <c r="AI99" s="353"/>
      <c r="AJ99" s="343"/>
      <c r="AK99" s="343"/>
      <c r="AL99" s="343"/>
      <c r="AM99" s="343"/>
      <c r="AN99" s="347">
        <f t="shared" si="8"/>
        <v>0</v>
      </c>
      <c r="AO99" s="347">
        <f>(1.73+0.16)*1.18</f>
        <v>2.2302</v>
      </c>
      <c r="AP99" s="343"/>
      <c r="AQ99" s="348">
        <f t="shared" si="10"/>
        <v>2.2302</v>
      </c>
      <c r="AR99" s="340"/>
    </row>
    <row r="100" spans="1:44" s="289" customFormat="1" ht="15">
      <c r="A100" s="341" t="s">
        <v>229</v>
      </c>
      <c r="B100" s="355" t="s">
        <v>230</v>
      </c>
      <c r="C100" s="343"/>
      <c r="D100" s="343"/>
      <c r="E100" s="344">
        <v>0.8</v>
      </c>
      <c r="F100" s="345"/>
      <c r="G100" s="345"/>
      <c r="H100" s="345"/>
      <c r="I100" s="345">
        <f t="shared" si="22"/>
        <v>0.8</v>
      </c>
      <c r="J100" s="345"/>
      <c r="K100" s="343"/>
      <c r="L100" s="345"/>
      <c r="M100" s="345">
        <v>0.8</v>
      </c>
      <c r="N100" s="345"/>
      <c r="O100" s="345"/>
      <c r="P100" s="345"/>
      <c r="Q100" s="345">
        <f t="shared" si="23"/>
        <v>0.8</v>
      </c>
      <c r="R100" s="345"/>
      <c r="S100" s="345">
        <f t="shared" si="9"/>
        <v>0.3983050847457627</v>
      </c>
      <c r="T100" s="343"/>
      <c r="U100" s="344"/>
      <c r="V100" s="345"/>
      <c r="W100" s="345"/>
      <c r="X100" s="344"/>
      <c r="Y100" s="344"/>
      <c r="Z100" s="343"/>
      <c r="AA100" s="345"/>
      <c r="AB100" s="345">
        <f t="shared" si="24"/>
        <v>0</v>
      </c>
      <c r="AC100" s="345"/>
      <c r="AD100" s="344">
        <v>0.8</v>
      </c>
      <c r="AE100" s="345"/>
      <c r="AF100" s="345"/>
      <c r="AG100" s="345"/>
      <c r="AH100" s="345">
        <f t="shared" si="25"/>
        <v>0.8</v>
      </c>
      <c r="AI100" s="345"/>
      <c r="AJ100" s="347"/>
      <c r="AK100" s="346"/>
      <c r="AL100" s="346"/>
      <c r="AM100" s="346"/>
      <c r="AN100" s="347">
        <f t="shared" si="8"/>
        <v>0</v>
      </c>
      <c r="AO100" s="346">
        <v>0.47</v>
      </c>
      <c r="AP100" s="346"/>
      <c r="AQ100" s="348">
        <f t="shared" si="10"/>
        <v>0.47</v>
      </c>
      <c r="AR100" s="340"/>
    </row>
    <row r="101" spans="1:44" s="354" customFormat="1" ht="15">
      <c r="A101" s="341" t="s">
        <v>231</v>
      </c>
      <c r="B101" s="352" t="s">
        <v>232</v>
      </c>
      <c r="C101" s="343"/>
      <c r="D101" s="347"/>
      <c r="E101" s="347">
        <v>1.26</v>
      </c>
      <c r="F101" s="347"/>
      <c r="G101" s="343"/>
      <c r="H101" s="353"/>
      <c r="I101" s="345">
        <f t="shared" si="22"/>
        <v>1.26</v>
      </c>
      <c r="J101" s="353"/>
      <c r="K101" s="353"/>
      <c r="L101" s="353"/>
      <c r="M101" s="353">
        <f>E101</f>
        <v>1.26</v>
      </c>
      <c r="N101" s="353"/>
      <c r="O101" s="353"/>
      <c r="P101" s="353"/>
      <c r="Q101" s="345">
        <f t="shared" si="23"/>
        <v>1.26</v>
      </c>
      <c r="R101" s="345"/>
      <c r="S101" s="345">
        <f t="shared" si="9"/>
        <v>0.5423728813559322</v>
      </c>
      <c r="T101" s="353"/>
      <c r="U101" s="353"/>
      <c r="V101" s="353"/>
      <c r="W101" s="353"/>
      <c r="X101" s="353"/>
      <c r="Y101" s="347"/>
      <c r="Z101" s="347"/>
      <c r="AA101" s="353"/>
      <c r="AB101" s="345">
        <f t="shared" si="24"/>
        <v>0</v>
      </c>
      <c r="AC101" s="353"/>
      <c r="AD101" s="353">
        <f>E101</f>
        <v>1.26</v>
      </c>
      <c r="AE101" s="353"/>
      <c r="AF101" s="353"/>
      <c r="AG101" s="353"/>
      <c r="AH101" s="345">
        <f t="shared" si="25"/>
        <v>1.26</v>
      </c>
      <c r="AI101" s="353"/>
      <c r="AJ101" s="343"/>
      <c r="AK101" s="343"/>
      <c r="AL101" s="343"/>
      <c r="AM101" s="343"/>
      <c r="AN101" s="347">
        <f t="shared" si="8"/>
        <v>0</v>
      </c>
      <c r="AO101" s="347">
        <v>0.64</v>
      </c>
      <c r="AP101" s="343"/>
      <c r="AQ101" s="348">
        <f t="shared" si="10"/>
        <v>0.64</v>
      </c>
      <c r="AR101" s="340"/>
    </row>
    <row r="102" spans="1:44" s="354" customFormat="1" ht="15">
      <c r="A102" s="341" t="s">
        <v>233</v>
      </c>
      <c r="B102" s="357" t="s">
        <v>234</v>
      </c>
      <c r="C102" s="343"/>
      <c r="D102" s="347"/>
      <c r="E102" s="347">
        <v>0.16</v>
      </c>
      <c r="F102" s="347"/>
      <c r="G102" s="347"/>
      <c r="H102" s="353"/>
      <c r="I102" s="345">
        <f t="shared" si="22"/>
        <v>0.16</v>
      </c>
      <c r="J102" s="353"/>
      <c r="K102" s="353"/>
      <c r="L102" s="353"/>
      <c r="M102" s="353">
        <v>0.25</v>
      </c>
      <c r="N102" s="353"/>
      <c r="O102" s="353"/>
      <c r="P102" s="353"/>
      <c r="Q102" s="345">
        <f t="shared" si="23"/>
        <v>0.25</v>
      </c>
      <c r="R102" s="345"/>
      <c r="S102" s="345">
        <f t="shared" si="9"/>
        <v>0.43</v>
      </c>
      <c r="T102" s="353"/>
      <c r="U102" s="353"/>
      <c r="V102" s="353"/>
      <c r="W102" s="353"/>
      <c r="X102" s="353"/>
      <c r="Y102" s="347"/>
      <c r="Z102" s="347"/>
      <c r="AA102" s="353"/>
      <c r="AB102" s="345">
        <f t="shared" si="24"/>
        <v>0</v>
      </c>
      <c r="AC102" s="353"/>
      <c r="AD102" s="353">
        <f>E102</f>
        <v>0.16</v>
      </c>
      <c r="AE102" s="353"/>
      <c r="AF102" s="353"/>
      <c r="AG102" s="353"/>
      <c r="AH102" s="345">
        <f t="shared" si="25"/>
        <v>0.16</v>
      </c>
      <c r="AI102" s="353"/>
      <c r="AJ102" s="343"/>
      <c r="AK102" s="343"/>
      <c r="AL102" s="343"/>
      <c r="AM102" s="343"/>
      <c r="AN102" s="347">
        <f t="shared" si="8"/>
        <v>0</v>
      </c>
      <c r="AO102" s="347">
        <f>(0.39+0.04)*1.18</f>
        <v>0.5074</v>
      </c>
      <c r="AP102" s="343"/>
      <c r="AQ102" s="348">
        <f t="shared" si="10"/>
        <v>0.5074</v>
      </c>
      <c r="AR102" s="340"/>
    </row>
    <row r="103" spans="1:44" s="289" customFormat="1" ht="15">
      <c r="A103" s="341" t="s">
        <v>235</v>
      </c>
      <c r="B103" s="358" t="s">
        <v>236</v>
      </c>
      <c r="C103" s="343"/>
      <c r="D103" s="343"/>
      <c r="E103" s="343">
        <v>0.25</v>
      </c>
      <c r="F103" s="345"/>
      <c r="G103" s="345"/>
      <c r="H103" s="345"/>
      <c r="I103" s="345">
        <f t="shared" si="22"/>
        <v>0.25</v>
      </c>
      <c r="J103" s="345"/>
      <c r="K103" s="345"/>
      <c r="L103" s="345"/>
      <c r="M103" s="343">
        <v>0.25</v>
      </c>
      <c r="N103" s="345"/>
      <c r="O103" s="345"/>
      <c r="P103" s="345"/>
      <c r="Q103" s="345">
        <f t="shared" si="23"/>
        <v>0.25</v>
      </c>
      <c r="R103" s="345"/>
      <c r="S103" s="345">
        <f t="shared" si="9"/>
        <v>0.3050847457627119</v>
      </c>
      <c r="T103" s="343"/>
      <c r="U103" s="344"/>
      <c r="V103" s="345"/>
      <c r="W103" s="345"/>
      <c r="X103" s="344"/>
      <c r="Y103" s="344"/>
      <c r="Z103" s="343"/>
      <c r="AA103" s="345"/>
      <c r="AB103" s="345">
        <f t="shared" si="24"/>
        <v>0</v>
      </c>
      <c r="AC103" s="345"/>
      <c r="AD103" s="344">
        <v>0.25</v>
      </c>
      <c r="AE103" s="345"/>
      <c r="AF103" s="345"/>
      <c r="AG103" s="345"/>
      <c r="AH103" s="345">
        <f t="shared" si="25"/>
        <v>0.25</v>
      </c>
      <c r="AI103" s="345"/>
      <c r="AJ103" s="347"/>
      <c r="AK103" s="346"/>
      <c r="AL103" s="346"/>
      <c r="AM103" s="346"/>
      <c r="AN103" s="347">
        <f t="shared" si="8"/>
        <v>0</v>
      </c>
      <c r="AO103" s="346">
        <v>0.36</v>
      </c>
      <c r="AP103" s="346"/>
      <c r="AQ103" s="348">
        <f t="shared" si="10"/>
        <v>0.36</v>
      </c>
      <c r="AR103" s="340"/>
    </row>
    <row r="104" spans="1:44" s="289" customFormat="1" ht="15">
      <c r="A104" s="341" t="s">
        <v>237</v>
      </c>
      <c r="B104" s="342" t="s">
        <v>238</v>
      </c>
      <c r="C104" s="343"/>
      <c r="D104" s="343"/>
      <c r="E104" s="343">
        <v>0.4</v>
      </c>
      <c r="F104" s="345"/>
      <c r="G104" s="345"/>
      <c r="H104" s="345"/>
      <c r="I104" s="345">
        <f t="shared" si="22"/>
        <v>0.4</v>
      </c>
      <c r="J104" s="345"/>
      <c r="K104" s="345"/>
      <c r="L104" s="345"/>
      <c r="M104" s="345">
        <v>0.25</v>
      </c>
      <c r="N104" s="345"/>
      <c r="O104" s="345"/>
      <c r="P104" s="345"/>
      <c r="Q104" s="345">
        <f t="shared" si="23"/>
        <v>0.25</v>
      </c>
      <c r="R104" s="345"/>
      <c r="S104" s="345">
        <f t="shared" si="9"/>
        <v>0.5423728813559322</v>
      </c>
      <c r="T104" s="343"/>
      <c r="U104" s="344"/>
      <c r="V104" s="345"/>
      <c r="W104" s="345"/>
      <c r="X104" s="344"/>
      <c r="Y104" s="344"/>
      <c r="Z104" s="343"/>
      <c r="AA104" s="345"/>
      <c r="AB104" s="345">
        <f t="shared" si="24"/>
        <v>0</v>
      </c>
      <c r="AC104" s="345"/>
      <c r="AD104" s="343">
        <v>0.4</v>
      </c>
      <c r="AE104" s="345"/>
      <c r="AF104" s="345"/>
      <c r="AG104" s="345"/>
      <c r="AH104" s="345">
        <f t="shared" si="25"/>
        <v>0.4</v>
      </c>
      <c r="AI104" s="345"/>
      <c r="AJ104" s="346"/>
      <c r="AK104" s="346"/>
      <c r="AL104" s="346"/>
      <c r="AM104" s="346"/>
      <c r="AN104" s="347">
        <f t="shared" si="8"/>
        <v>0</v>
      </c>
      <c r="AO104" s="346">
        <v>0.64</v>
      </c>
      <c r="AP104" s="346"/>
      <c r="AQ104" s="348">
        <f t="shared" si="10"/>
        <v>0.64</v>
      </c>
      <c r="AR104" s="340"/>
    </row>
    <row r="105" spans="1:44" s="289" customFormat="1" ht="15">
      <c r="A105" s="341" t="s">
        <v>239</v>
      </c>
      <c r="B105" s="342" t="s">
        <v>240</v>
      </c>
      <c r="C105" s="343"/>
      <c r="D105" s="343"/>
      <c r="E105" s="343">
        <v>0.25</v>
      </c>
      <c r="F105" s="345"/>
      <c r="G105" s="345"/>
      <c r="H105" s="345"/>
      <c r="I105" s="345">
        <f t="shared" si="22"/>
        <v>0.25</v>
      </c>
      <c r="J105" s="345"/>
      <c r="K105" s="345"/>
      <c r="L105" s="345"/>
      <c r="M105" s="345">
        <v>0.63</v>
      </c>
      <c r="N105" s="345"/>
      <c r="O105" s="345"/>
      <c r="P105" s="345"/>
      <c r="Q105" s="345">
        <f t="shared" si="23"/>
        <v>0.63</v>
      </c>
      <c r="R105" s="345"/>
      <c r="S105" s="345">
        <f t="shared" si="9"/>
        <v>0.3728813559322034</v>
      </c>
      <c r="T105" s="343"/>
      <c r="U105" s="344"/>
      <c r="V105" s="345"/>
      <c r="W105" s="345"/>
      <c r="X105" s="344"/>
      <c r="Y105" s="344"/>
      <c r="Z105" s="343"/>
      <c r="AA105" s="345"/>
      <c r="AB105" s="345">
        <f t="shared" si="24"/>
        <v>0</v>
      </c>
      <c r="AC105" s="345"/>
      <c r="AD105" s="343">
        <v>0.25</v>
      </c>
      <c r="AE105" s="345"/>
      <c r="AF105" s="345"/>
      <c r="AG105" s="345"/>
      <c r="AH105" s="345">
        <f t="shared" si="25"/>
        <v>0.25</v>
      </c>
      <c r="AI105" s="345"/>
      <c r="AJ105" s="346"/>
      <c r="AK105" s="346"/>
      <c r="AL105" s="346"/>
      <c r="AM105" s="346"/>
      <c r="AN105" s="347">
        <f t="shared" si="8"/>
        <v>0</v>
      </c>
      <c r="AO105" s="346">
        <v>0.44</v>
      </c>
      <c r="AP105" s="346"/>
      <c r="AQ105" s="348">
        <f t="shared" si="10"/>
        <v>0.44</v>
      </c>
      <c r="AR105" s="340"/>
    </row>
    <row r="106" spans="1:44" s="289" customFormat="1" ht="15">
      <c r="A106" s="361" t="s">
        <v>241</v>
      </c>
      <c r="B106" s="342" t="s">
        <v>242</v>
      </c>
      <c r="C106" s="343"/>
      <c r="D106" s="343"/>
      <c r="E106" s="343">
        <v>2.26</v>
      </c>
      <c r="F106" s="345"/>
      <c r="G106" s="345"/>
      <c r="H106" s="345"/>
      <c r="I106" s="345">
        <f t="shared" si="22"/>
        <v>2.26</v>
      </c>
      <c r="J106" s="345"/>
      <c r="K106" s="345"/>
      <c r="L106" s="345"/>
      <c r="M106" s="345">
        <v>1.26</v>
      </c>
      <c r="N106" s="345"/>
      <c r="O106" s="345"/>
      <c r="P106" s="345"/>
      <c r="Q106" s="345">
        <f t="shared" si="23"/>
        <v>1.26</v>
      </c>
      <c r="R106" s="345"/>
      <c r="S106" s="345">
        <f t="shared" si="9"/>
        <v>1.7881355932203389</v>
      </c>
      <c r="T106" s="343"/>
      <c r="U106" s="344"/>
      <c r="V106" s="345"/>
      <c r="W106" s="345"/>
      <c r="X106" s="344"/>
      <c r="Y106" s="344"/>
      <c r="Z106" s="343"/>
      <c r="AA106" s="345"/>
      <c r="AB106" s="345">
        <f t="shared" si="24"/>
        <v>0</v>
      </c>
      <c r="AC106" s="345"/>
      <c r="AD106" s="343">
        <v>2.26</v>
      </c>
      <c r="AE106" s="345"/>
      <c r="AF106" s="345"/>
      <c r="AG106" s="345"/>
      <c r="AH106" s="345">
        <f t="shared" si="25"/>
        <v>2.26</v>
      </c>
      <c r="AI106" s="345"/>
      <c r="AJ106" s="346"/>
      <c r="AK106" s="346"/>
      <c r="AL106" s="346"/>
      <c r="AM106" s="346"/>
      <c r="AN106" s="347">
        <f t="shared" si="8"/>
        <v>0</v>
      </c>
      <c r="AO106" s="346">
        <v>2.11</v>
      </c>
      <c r="AP106" s="346"/>
      <c r="AQ106" s="348">
        <f t="shared" si="10"/>
        <v>2.11</v>
      </c>
      <c r="AR106" s="340"/>
    </row>
    <row r="107" spans="1:44" s="289" customFormat="1" ht="15">
      <c r="A107" s="361" t="s">
        <v>243</v>
      </c>
      <c r="B107" s="362" t="s">
        <v>244</v>
      </c>
      <c r="C107" s="343"/>
      <c r="D107" s="343"/>
      <c r="E107" s="343">
        <v>0.4</v>
      </c>
      <c r="F107" s="345"/>
      <c r="G107" s="345"/>
      <c r="H107" s="345"/>
      <c r="I107" s="345">
        <f t="shared" si="22"/>
        <v>0.4</v>
      </c>
      <c r="J107" s="345"/>
      <c r="K107" s="345"/>
      <c r="L107" s="345"/>
      <c r="M107" s="345">
        <v>0.4</v>
      </c>
      <c r="N107" s="345"/>
      <c r="O107" s="345"/>
      <c r="P107" s="345"/>
      <c r="Q107" s="345">
        <f t="shared" si="23"/>
        <v>0.4</v>
      </c>
      <c r="R107" s="345"/>
      <c r="S107" s="345">
        <f t="shared" si="9"/>
        <v>0.1016949152542373</v>
      </c>
      <c r="T107" s="343"/>
      <c r="U107" s="344"/>
      <c r="V107" s="345"/>
      <c r="W107" s="345"/>
      <c r="X107" s="344"/>
      <c r="Y107" s="344"/>
      <c r="Z107" s="343"/>
      <c r="AA107" s="345"/>
      <c r="AB107" s="345">
        <f t="shared" si="24"/>
        <v>0</v>
      </c>
      <c r="AC107" s="345"/>
      <c r="AD107" s="343">
        <v>0.4</v>
      </c>
      <c r="AE107" s="345"/>
      <c r="AF107" s="345"/>
      <c r="AG107" s="345"/>
      <c r="AH107" s="345">
        <f t="shared" si="25"/>
        <v>0.4</v>
      </c>
      <c r="AI107" s="345"/>
      <c r="AJ107" s="346"/>
      <c r="AK107" s="346"/>
      <c r="AL107" s="346"/>
      <c r="AM107" s="346"/>
      <c r="AN107" s="347">
        <f t="shared" si="8"/>
        <v>0</v>
      </c>
      <c r="AO107" s="346">
        <v>0.12</v>
      </c>
      <c r="AP107" s="346"/>
      <c r="AQ107" s="348">
        <f t="shared" si="10"/>
        <v>0.12</v>
      </c>
      <c r="AR107" s="340"/>
    </row>
    <row r="108" spans="1:44" s="289" customFormat="1" ht="15">
      <c r="A108" s="361" t="s">
        <v>245</v>
      </c>
      <c r="B108" s="358" t="s">
        <v>246</v>
      </c>
      <c r="C108" s="343"/>
      <c r="D108" s="343"/>
      <c r="E108" s="343">
        <v>0.8</v>
      </c>
      <c r="F108" s="345"/>
      <c r="G108" s="345"/>
      <c r="H108" s="345"/>
      <c r="I108" s="345">
        <f t="shared" si="22"/>
        <v>0.8</v>
      </c>
      <c r="J108" s="345"/>
      <c r="K108" s="345"/>
      <c r="L108" s="345"/>
      <c r="M108" s="345">
        <v>0.8</v>
      </c>
      <c r="N108" s="345"/>
      <c r="O108" s="345"/>
      <c r="P108" s="345"/>
      <c r="Q108" s="345">
        <f t="shared" si="23"/>
        <v>0.8</v>
      </c>
      <c r="R108" s="345"/>
      <c r="S108" s="345">
        <f t="shared" si="9"/>
        <v>0.22881355932203393</v>
      </c>
      <c r="T108" s="343"/>
      <c r="U108" s="344"/>
      <c r="V108" s="345"/>
      <c r="W108" s="345"/>
      <c r="X108" s="344"/>
      <c r="Y108" s="344"/>
      <c r="Z108" s="343"/>
      <c r="AA108" s="345"/>
      <c r="AB108" s="345">
        <f t="shared" si="24"/>
        <v>0</v>
      </c>
      <c r="AC108" s="345"/>
      <c r="AD108" s="343">
        <v>0.8</v>
      </c>
      <c r="AE108" s="345"/>
      <c r="AF108" s="345"/>
      <c r="AG108" s="345"/>
      <c r="AH108" s="345">
        <f t="shared" si="25"/>
        <v>0.8</v>
      </c>
      <c r="AI108" s="345"/>
      <c r="AJ108" s="346"/>
      <c r="AK108" s="346"/>
      <c r="AL108" s="346"/>
      <c r="AM108" s="346"/>
      <c r="AN108" s="347">
        <f t="shared" si="8"/>
        <v>0</v>
      </c>
      <c r="AO108" s="346">
        <v>0.27</v>
      </c>
      <c r="AP108" s="346"/>
      <c r="AQ108" s="348">
        <f t="shared" si="10"/>
        <v>0.27</v>
      </c>
      <c r="AR108" s="340"/>
    </row>
    <row r="109" spans="1:44" s="289" customFormat="1" ht="15">
      <c r="A109" s="361" t="s">
        <v>247</v>
      </c>
      <c r="B109" s="355" t="s">
        <v>248</v>
      </c>
      <c r="C109" s="343"/>
      <c r="D109" s="343"/>
      <c r="E109" s="343">
        <v>0.25</v>
      </c>
      <c r="F109" s="345"/>
      <c r="G109" s="345"/>
      <c r="H109" s="345"/>
      <c r="I109" s="345">
        <f t="shared" si="22"/>
        <v>0.25</v>
      </c>
      <c r="J109" s="345"/>
      <c r="K109" s="345"/>
      <c r="L109" s="345"/>
      <c r="M109" s="345">
        <v>0.25</v>
      </c>
      <c r="N109" s="345"/>
      <c r="O109" s="345"/>
      <c r="P109" s="345"/>
      <c r="Q109" s="345">
        <f t="shared" si="23"/>
        <v>0.25</v>
      </c>
      <c r="R109" s="345"/>
      <c r="S109" s="345">
        <f t="shared" si="9"/>
        <v>0.15254237288135594</v>
      </c>
      <c r="T109" s="343"/>
      <c r="U109" s="344"/>
      <c r="V109" s="345"/>
      <c r="W109" s="345"/>
      <c r="X109" s="344"/>
      <c r="Y109" s="344"/>
      <c r="Z109" s="343"/>
      <c r="AA109" s="345"/>
      <c r="AB109" s="345">
        <f t="shared" si="24"/>
        <v>0</v>
      </c>
      <c r="AC109" s="345"/>
      <c r="AD109" s="344">
        <v>0.25</v>
      </c>
      <c r="AE109" s="345"/>
      <c r="AF109" s="345"/>
      <c r="AG109" s="345"/>
      <c r="AH109" s="345">
        <f t="shared" si="25"/>
        <v>0.25</v>
      </c>
      <c r="AI109" s="345"/>
      <c r="AJ109" s="346"/>
      <c r="AK109" s="346"/>
      <c r="AL109" s="346"/>
      <c r="AM109" s="346"/>
      <c r="AN109" s="347">
        <f t="shared" si="8"/>
        <v>0</v>
      </c>
      <c r="AO109" s="346">
        <v>0.18</v>
      </c>
      <c r="AP109" s="346"/>
      <c r="AQ109" s="348">
        <f t="shared" si="10"/>
        <v>0.18</v>
      </c>
      <c r="AR109" s="340"/>
    </row>
    <row r="110" spans="1:44" s="289" customFormat="1" ht="15">
      <c r="A110" s="361" t="s">
        <v>249</v>
      </c>
      <c r="B110" s="359" t="s">
        <v>250</v>
      </c>
      <c r="C110" s="343"/>
      <c r="D110" s="343"/>
      <c r="E110" s="343">
        <v>1.26</v>
      </c>
      <c r="F110" s="345"/>
      <c r="G110" s="345"/>
      <c r="H110" s="345"/>
      <c r="I110" s="345">
        <f t="shared" si="22"/>
        <v>1.26</v>
      </c>
      <c r="J110" s="345"/>
      <c r="K110" s="345"/>
      <c r="L110" s="345"/>
      <c r="M110" s="345">
        <v>1.26</v>
      </c>
      <c r="N110" s="345"/>
      <c r="O110" s="345"/>
      <c r="P110" s="345"/>
      <c r="Q110" s="345">
        <f t="shared" si="23"/>
        <v>1.26</v>
      </c>
      <c r="R110" s="345"/>
      <c r="S110" s="345">
        <f t="shared" si="9"/>
        <v>0.23728813559322037</v>
      </c>
      <c r="T110" s="343"/>
      <c r="U110" s="344"/>
      <c r="V110" s="345"/>
      <c r="W110" s="345"/>
      <c r="X110" s="344"/>
      <c r="Y110" s="344"/>
      <c r="Z110" s="343"/>
      <c r="AA110" s="345"/>
      <c r="AB110" s="345">
        <f t="shared" si="24"/>
        <v>0</v>
      </c>
      <c r="AC110" s="345"/>
      <c r="AD110" s="344">
        <v>1.26</v>
      </c>
      <c r="AE110" s="345"/>
      <c r="AF110" s="345"/>
      <c r="AG110" s="345"/>
      <c r="AH110" s="345">
        <f t="shared" si="25"/>
        <v>1.26</v>
      </c>
      <c r="AI110" s="345"/>
      <c r="AJ110" s="346"/>
      <c r="AK110" s="346"/>
      <c r="AL110" s="346"/>
      <c r="AM110" s="346"/>
      <c r="AN110" s="347">
        <f t="shared" si="8"/>
        <v>0</v>
      </c>
      <c r="AO110" s="346">
        <v>0.28</v>
      </c>
      <c r="AP110" s="346"/>
      <c r="AQ110" s="348">
        <f t="shared" si="10"/>
        <v>0.28</v>
      </c>
      <c r="AR110" s="340"/>
    </row>
    <row r="111" spans="1:44" s="289" customFormat="1" ht="15">
      <c r="A111" s="361" t="s">
        <v>251</v>
      </c>
      <c r="B111" s="355" t="s">
        <v>252</v>
      </c>
      <c r="C111" s="343"/>
      <c r="D111" s="343"/>
      <c r="E111" s="343">
        <v>0.25</v>
      </c>
      <c r="F111" s="345"/>
      <c r="G111" s="345"/>
      <c r="H111" s="345"/>
      <c r="I111" s="345">
        <f t="shared" si="22"/>
        <v>0.25</v>
      </c>
      <c r="J111" s="345"/>
      <c r="K111" s="345"/>
      <c r="L111" s="345"/>
      <c r="M111" s="345">
        <v>0.25</v>
      </c>
      <c r="N111" s="345"/>
      <c r="O111" s="345"/>
      <c r="P111" s="345"/>
      <c r="Q111" s="345">
        <f t="shared" si="23"/>
        <v>0.25</v>
      </c>
      <c r="R111" s="345"/>
      <c r="S111" s="345">
        <f t="shared" si="9"/>
        <v>0.11864406779661019</v>
      </c>
      <c r="T111" s="343"/>
      <c r="U111" s="344"/>
      <c r="V111" s="345"/>
      <c r="W111" s="345"/>
      <c r="X111" s="344"/>
      <c r="Y111" s="344"/>
      <c r="Z111" s="343"/>
      <c r="AA111" s="345"/>
      <c r="AB111" s="345">
        <f t="shared" si="24"/>
        <v>0</v>
      </c>
      <c r="AC111" s="345"/>
      <c r="AD111" s="344">
        <v>0.25</v>
      </c>
      <c r="AE111" s="345"/>
      <c r="AF111" s="345"/>
      <c r="AG111" s="345"/>
      <c r="AH111" s="345">
        <f t="shared" si="25"/>
        <v>0.25</v>
      </c>
      <c r="AI111" s="345"/>
      <c r="AJ111" s="346"/>
      <c r="AK111" s="346"/>
      <c r="AL111" s="346"/>
      <c r="AM111" s="346"/>
      <c r="AN111" s="347">
        <f t="shared" si="8"/>
        <v>0</v>
      </c>
      <c r="AO111" s="346">
        <v>0.14</v>
      </c>
      <c r="AP111" s="346"/>
      <c r="AQ111" s="348">
        <f t="shared" si="10"/>
        <v>0.14</v>
      </c>
      <c r="AR111" s="340"/>
    </row>
    <row r="112" spans="1:44" s="289" customFormat="1" ht="15">
      <c r="A112" s="361" t="s">
        <v>253</v>
      </c>
      <c r="B112" s="355" t="s">
        <v>254</v>
      </c>
      <c r="C112" s="343"/>
      <c r="D112" s="343"/>
      <c r="E112" s="343">
        <v>0.4</v>
      </c>
      <c r="F112" s="345"/>
      <c r="G112" s="345"/>
      <c r="H112" s="345"/>
      <c r="I112" s="345">
        <f t="shared" si="22"/>
        <v>0.4</v>
      </c>
      <c r="J112" s="345"/>
      <c r="K112" s="345"/>
      <c r="L112" s="345"/>
      <c r="M112" s="345">
        <v>0.4</v>
      </c>
      <c r="N112" s="345"/>
      <c r="O112" s="345"/>
      <c r="P112" s="345"/>
      <c r="Q112" s="345">
        <f t="shared" si="23"/>
        <v>0.4</v>
      </c>
      <c r="R112" s="345"/>
      <c r="S112" s="345">
        <f t="shared" si="9"/>
        <v>0.1016949152542373</v>
      </c>
      <c r="T112" s="343"/>
      <c r="U112" s="344"/>
      <c r="V112" s="345"/>
      <c r="W112" s="345"/>
      <c r="X112" s="344"/>
      <c r="Y112" s="344"/>
      <c r="Z112" s="343"/>
      <c r="AA112" s="345"/>
      <c r="AB112" s="345">
        <f t="shared" si="24"/>
        <v>0</v>
      </c>
      <c r="AC112" s="345"/>
      <c r="AD112" s="344">
        <v>0.4</v>
      </c>
      <c r="AE112" s="345"/>
      <c r="AF112" s="345"/>
      <c r="AG112" s="345"/>
      <c r="AH112" s="345">
        <f t="shared" si="25"/>
        <v>0.4</v>
      </c>
      <c r="AI112" s="345"/>
      <c r="AJ112" s="346"/>
      <c r="AK112" s="346"/>
      <c r="AL112" s="346"/>
      <c r="AM112" s="346"/>
      <c r="AN112" s="347">
        <f t="shared" si="8"/>
        <v>0</v>
      </c>
      <c r="AO112" s="346">
        <v>0.12</v>
      </c>
      <c r="AP112" s="346"/>
      <c r="AQ112" s="348">
        <f t="shared" si="10"/>
        <v>0.12</v>
      </c>
      <c r="AR112" s="340"/>
    </row>
    <row r="113" spans="1:44" s="289" customFormat="1" ht="15">
      <c r="A113" s="361" t="s">
        <v>255</v>
      </c>
      <c r="B113" s="355" t="s">
        <v>256</v>
      </c>
      <c r="C113" s="343"/>
      <c r="D113" s="343"/>
      <c r="E113" s="343">
        <v>0.16</v>
      </c>
      <c r="F113" s="345"/>
      <c r="G113" s="345"/>
      <c r="H113" s="345"/>
      <c r="I113" s="345">
        <f t="shared" si="22"/>
        <v>0.16</v>
      </c>
      <c r="J113" s="345"/>
      <c r="K113" s="345"/>
      <c r="L113" s="345"/>
      <c r="M113" s="345">
        <v>0.16</v>
      </c>
      <c r="N113" s="345"/>
      <c r="O113" s="345"/>
      <c r="P113" s="345"/>
      <c r="Q113" s="345">
        <f t="shared" si="23"/>
        <v>0.16</v>
      </c>
      <c r="R113" s="345"/>
      <c r="S113" s="345">
        <f t="shared" si="9"/>
        <v>0.1016949152542373</v>
      </c>
      <c r="T113" s="343"/>
      <c r="U113" s="344"/>
      <c r="V113" s="345"/>
      <c r="W113" s="345"/>
      <c r="X113" s="344"/>
      <c r="Y113" s="344"/>
      <c r="Z113" s="343"/>
      <c r="AA113" s="345"/>
      <c r="AB113" s="345">
        <f t="shared" si="24"/>
        <v>0</v>
      </c>
      <c r="AC113" s="345"/>
      <c r="AD113" s="344">
        <v>0.16</v>
      </c>
      <c r="AE113" s="345"/>
      <c r="AF113" s="345"/>
      <c r="AG113" s="345"/>
      <c r="AH113" s="345">
        <f t="shared" si="25"/>
        <v>0.16</v>
      </c>
      <c r="AI113" s="345"/>
      <c r="AJ113" s="346"/>
      <c r="AK113" s="346"/>
      <c r="AL113" s="346"/>
      <c r="AM113" s="346"/>
      <c r="AN113" s="347">
        <f t="shared" si="8"/>
        <v>0</v>
      </c>
      <c r="AO113" s="346">
        <v>0.12</v>
      </c>
      <c r="AP113" s="346"/>
      <c r="AQ113" s="348">
        <f t="shared" si="10"/>
        <v>0.12</v>
      </c>
      <c r="AR113" s="340"/>
    </row>
    <row r="114" spans="1:44" s="289" customFormat="1" ht="15">
      <c r="A114" s="361" t="s">
        <v>257</v>
      </c>
      <c r="B114" s="358" t="s">
        <v>258</v>
      </c>
      <c r="C114" s="343"/>
      <c r="D114" s="343"/>
      <c r="E114" s="343">
        <v>0.25</v>
      </c>
      <c r="F114" s="345"/>
      <c r="G114" s="345"/>
      <c r="H114" s="345"/>
      <c r="I114" s="345">
        <f t="shared" si="22"/>
        <v>0.25</v>
      </c>
      <c r="J114" s="345"/>
      <c r="K114" s="345"/>
      <c r="L114" s="345"/>
      <c r="M114" s="345">
        <v>0.25</v>
      </c>
      <c r="N114" s="345"/>
      <c r="O114" s="345"/>
      <c r="P114" s="345"/>
      <c r="Q114" s="345">
        <f t="shared" si="23"/>
        <v>0.25</v>
      </c>
      <c r="R114" s="345"/>
      <c r="S114" s="345">
        <f t="shared" si="9"/>
        <v>1.152542372881356</v>
      </c>
      <c r="T114" s="343"/>
      <c r="U114" s="344"/>
      <c r="V114" s="345"/>
      <c r="W114" s="345"/>
      <c r="X114" s="344"/>
      <c r="Y114" s="344"/>
      <c r="Z114" s="343"/>
      <c r="AA114" s="345"/>
      <c r="AB114" s="345">
        <f t="shared" si="24"/>
        <v>0</v>
      </c>
      <c r="AC114" s="345"/>
      <c r="AD114" s="344">
        <v>0.25</v>
      </c>
      <c r="AE114" s="345"/>
      <c r="AF114" s="345"/>
      <c r="AG114" s="345"/>
      <c r="AH114" s="345">
        <f t="shared" si="25"/>
        <v>0.25</v>
      </c>
      <c r="AI114" s="345"/>
      <c r="AJ114" s="346"/>
      <c r="AK114" s="346"/>
      <c r="AL114" s="346"/>
      <c r="AM114" s="346"/>
      <c r="AN114" s="347">
        <f t="shared" si="8"/>
        <v>0</v>
      </c>
      <c r="AO114" s="347">
        <v>1.36</v>
      </c>
      <c r="AP114" s="346"/>
      <c r="AQ114" s="348">
        <f t="shared" si="10"/>
        <v>1.36</v>
      </c>
      <c r="AR114" s="340"/>
    </row>
    <row r="115" spans="1:44" s="289" customFormat="1" ht="15">
      <c r="A115" s="361" t="s">
        <v>259</v>
      </c>
      <c r="B115" s="359" t="s">
        <v>260</v>
      </c>
      <c r="C115" s="343"/>
      <c r="D115" s="343"/>
      <c r="E115" s="343">
        <v>0.4</v>
      </c>
      <c r="F115" s="345"/>
      <c r="G115" s="345"/>
      <c r="H115" s="345"/>
      <c r="I115" s="345">
        <f t="shared" si="22"/>
        <v>0.4</v>
      </c>
      <c r="J115" s="345"/>
      <c r="K115" s="345"/>
      <c r="L115" s="345"/>
      <c r="M115" s="345">
        <v>0.4</v>
      </c>
      <c r="N115" s="345"/>
      <c r="O115" s="345"/>
      <c r="P115" s="345"/>
      <c r="Q115" s="345">
        <f t="shared" si="23"/>
        <v>0.4</v>
      </c>
      <c r="R115" s="345"/>
      <c r="S115" s="345">
        <f t="shared" si="9"/>
        <v>0.44067796610169496</v>
      </c>
      <c r="T115" s="343"/>
      <c r="U115" s="344"/>
      <c r="V115" s="345"/>
      <c r="W115" s="345"/>
      <c r="X115" s="344"/>
      <c r="Y115" s="344"/>
      <c r="Z115" s="343"/>
      <c r="AA115" s="345"/>
      <c r="AB115" s="345">
        <f t="shared" si="24"/>
        <v>0</v>
      </c>
      <c r="AC115" s="345"/>
      <c r="AD115" s="344">
        <v>0.4</v>
      </c>
      <c r="AE115" s="345"/>
      <c r="AF115" s="345"/>
      <c r="AG115" s="345"/>
      <c r="AH115" s="345">
        <f t="shared" si="25"/>
        <v>0.4</v>
      </c>
      <c r="AI115" s="345"/>
      <c r="AJ115" s="346"/>
      <c r="AK115" s="346"/>
      <c r="AL115" s="346"/>
      <c r="AM115" s="346"/>
      <c r="AN115" s="347">
        <f t="shared" si="8"/>
        <v>0</v>
      </c>
      <c r="AO115" s="346">
        <v>0.52</v>
      </c>
      <c r="AP115" s="346"/>
      <c r="AQ115" s="348">
        <f t="shared" si="10"/>
        <v>0.52</v>
      </c>
      <c r="AR115" s="340"/>
    </row>
    <row r="116" spans="1:44" s="289" customFormat="1" ht="15">
      <c r="A116" s="361" t="s">
        <v>261</v>
      </c>
      <c r="B116" s="359" t="s">
        <v>262</v>
      </c>
      <c r="C116" s="343"/>
      <c r="D116" s="343"/>
      <c r="E116" s="343">
        <v>0.4</v>
      </c>
      <c r="F116" s="345"/>
      <c r="G116" s="345"/>
      <c r="H116" s="345"/>
      <c r="I116" s="345">
        <f t="shared" si="22"/>
        <v>0.4</v>
      </c>
      <c r="J116" s="345"/>
      <c r="K116" s="345"/>
      <c r="L116" s="345"/>
      <c r="M116" s="345">
        <v>0.4</v>
      </c>
      <c r="N116" s="345"/>
      <c r="O116" s="345"/>
      <c r="P116" s="345"/>
      <c r="Q116" s="345">
        <f t="shared" si="23"/>
        <v>0.4</v>
      </c>
      <c r="R116" s="345"/>
      <c r="S116" s="345">
        <f t="shared" si="9"/>
        <v>0.1864406779661017</v>
      </c>
      <c r="T116" s="343"/>
      <c r="U116" s="344"/>
      <c r="V116" s="345"/>
      <c r="W116" s="345"/>
      <c r="X116" s="344"/>
      <c r="Y116" s="344"/>
      <c r="Z116" s="343"/>
      <c r="AA116" s="345"/>
      <c r="AB116" s="345">
        <f t="shared" si="24"/>
        <v>0</v>
      </c>
      <c r="AC116" s="345"/>
      <c r="AD116" s="344">
        <v>0.4</v>
      </c>
      <c r="AE116" s="345"/>
      <c r="AF116" s="345"/>
      <c r="AG116" s="345"/>
      <c r="AH116" s="345">
        <f t="shared" si="25"/>
        <v>0.4</v>
      </c>
      <c r="AI116" s="345"/>
      <c r="AJ116" s="347"/>
      <c r="AK116" s="346"/>
      <c r="AL116" s="346"/>
      <c r="AM116" s="346"/>
      <c r="AN116" s="347">
        <f t="shared" si="8"/>
        <v>0</v>
      </c>
      <c r="AO116" s="346">
        <v>0.22</v>
      </c>
      <c r="AP116" s="346"/>
      <c r="AQ116" s="348">
        <f t="shared" si="10"/>
        <v>0.22</v>
      </c>
      <c r="AR116" s="340"/>
    </row>
    <row r="117" spans="1:44" s="289" customFormat="1" ht="15">
      <c r="A117" s="361" t="s">
        <v>263</v>
      </c>
      <c r="B117" s="355" t="s">
        <v>264</v>
      </c>
      <c r="C117" s="343"/>
      <c r="D117" s="343"/>
      <c r="E117" s="344">
        <v>0.16</v>
      </c>
      <c r="F117" s="345"/>
      <c r="G117" s="345"/>
      <c r="H117" s="345"/>
      <c r="I117" s="345">
        <f t="shared" si="22"/>
        <v>0.16</v>
      </c>
      <c r="J117" s="345"/>
      <c r="K117" s="345"/>
      <c r="L117" s="345"/>
      <c r="M117" s="345">
        <v>0.16</v>
      </c>
      <c r="N117" s="345"/>
      <c r="O117" s="345"/>
      <c r="P117" s="345"/>
      <c r="Q117" s="345">
        <f t="shared" si="23"/>
        <v>0.16</v>
      </c>
      <c r="R117" s="345"/>
      <c r="S117" s="345">
        <f t="shared" si="9"/>
        <v>0.3559322033898305</v>
      </c>
      <c r="T117" s="343"/>
      <c r="U117" s="344"/>
      <c r="V117" s="345"/>
      <c r="W117" s="345"/>
      <c r="X117" s="344"/>
      <c r="Y117" s="344"/>
      <c r="Z117" s="343"/>
      <c r="AA117" s="345"/>
      <c r="AB117" s="345">
        <f t="shared" si="24"/>
        <v>0</v>
      </c>
      <c r="AC117" s="345"/>
      <c r="AD117" s="343">
        <v>0.16</v>
      </c>
      <c r="AE117" s="345"/>
      <c r="AF117" s="345"/>
      <c r="AG117" s="345"/>
      <c r="AH117" s="345">
        <f t="shared" si="25"/>
        <v>0.16</v>
      </c>
      <c r="AI117" s="345"/>
      <c r="AJ117" s="347"/>
      <c r="AK117" s="346"/>
      <c r="AL117" s="346"/>
      <c r="AM117" s="346"/>
      <c r="AN117" s="347">
        <f t="shared" si="8"/>
        <v>0</v>
      </c>
      <c r="AO117" s="347">
        <v>0.42</v>
      </c>
      <c r="AP117" s="346"/>
      <c r="AQ117" s="348">
        <f t="shared" si="10"/>
        <v>0.42</v>
      </c>
      <c r="AR117" s="340"/>
    </row>
    <row r="118" spans="1:44" s="289" customFormat="1" ht="15">
      <c r="A118" s="361" t="s">
        <v>265</v>
      </c>
      <c r="B118" s="355" t="s">
        <v>266</v>
      </c>
      <c r="C118" s="343"/>
      <c r="D118" s="343"/>
      <c r="E118" s="344">
        <v>0.25</v>
      </c>
      <c r="F118" s="345"/>
      <c r="G118" s="345"/>
      <c r="H118" s="345"/>
      <c r="I118" s="345">
        <f t="shared" si="22"/>
        <v>0.25</v>
      </c>
      <c r="J118" s="345"/>
      <c r="K118" s="345"/>
      <c r="L118" s="345"/>
      <c r="M118" s="345">
        <v>0.25</v>
      </c>
      <c r="N118" s="345"/>
      <c r="O118" s="345"/>
      <c r="P118" s="345"/>
      <c r="Q118" s="345">
        <f t="shared" si="23"/>
        <v>0.25</v>
      </c>
      <c r="R118" s="345"/>
      <c r="S118" s="345">
        <f t="shared" si="9"/>
        <v>0.33898305084745767</v>
      </c>
      <c r="T118" s="343"/>
      <c r="U118" s="344"/>
      <c r="V118" s="345"/>
      <c r="W118" s="345"/>
      <c r="X118" s="344"/>
      <c r="Y118" s="344"/>
      <c r="Z118" s="343"/>
      <c r="AA118" s="345"/>
      <c r="AB118" s="345">
        <f t="shared" si="24"/>
        <v>0</v>
      </c>
      <c r="AC118" s="345"/>
      <c r="AD118" s="343">
        <v>0.25</v>
      </c>
      <c r="AE118" s="345"/>
      <c r="AF118" s="345"/>
      <c r="AG118" s="345"/>
      <c r="AH118" s="345">
        <f t="shared" si="25"/>
        <v>0.25</v>
      </c>
      <c r="AI118" s="345"/>
      <c r="AJ118" s="347"/>
      <c r="AK118" s="346"/>
      <c r="AL118" s="346"/>
      <c r="AM118" s="346"/>
      <c r="AN118" s="347">
        <f t="shared" si="8"/>
        <v>0</v>
      </c>
      <c r="AO118" s="347">
        <v>0.4</v>
      </c>
      <c r="AP118" s="346"/>
      <c r="AQ118" s="348">
        <f t="shared" si="10"/>
        <v>0.4</v>
      </c>
      <c r="AR118" s="340"/>
    </row>
    <row r="119" spans="1:44" s="289" customFormat="1" ht="15">
      <c r="A119" s="361" t="s">
        <v>267</v>
      </c>
      <c r="B119" s="355" t="s">
        <v>268</v>
      </c>
      <c r="C119" s="343"/>
      <c r="D119" s="343"/>
      <c r="E119" s="344">
        <v>0.8</v>
      </c>
      <c r="F119" s="345"/>
      <c r="G119" s="345"/>
      <c r="H119" s="345"/>
      <c r="I119" s="345">
        <f t="shared" si="22"/>
        <v>0.8</v>
      </c>
      <c r="J119" s="345"/>
      <c r="K119" s="345"/>
      <c r="L119" s="345"/>
      <c r="M119" s="345">
        <v>0.8</v>
      </c>
      <c r="N119" s="345"/>
      <c r="O119" s="345"/>
      <c r="P119" s="345"/>
      <c r="Q119" s="345">
        <f t="shared" si="23"/>
        <v>0.8</v>
      </c>
      <c r="R119" s="345"/>
      <c r="S119" s="345">
        <f t="shared" si="9"/>
        <v>0.45762711864406785</v>
      </c>
      <c r="T119" s="343"/>
      <c r="U119" s="344"/>
      <c r="V119" s="345"/>
      <c r="W119" s="345"/>
      <c r="X119" s="344"/>
      <c r="Y119" s="344"/>
      <c r="Z119" s="343"/>
      <c r="AA119" s="345"/>
      <c r="AB119" s="345">
        <f t="shared" si="24"/>
        <v>0</v>
      </c>
      <c r="AC119" s="345"/>
      <c r="AD119" s="343">
        <v>0.8</v>
      </c>
      <c r="AE119" s="345"/>
      <c r="AF119" s="345"/>
      <c r="AG119" s="345"/>
      <c r="AH119" s="345">
        <f t="shared" si="25"/>
        <v>0.8</v>
      </c>
      <c r="AI119" s="345"/>
      <c r="AJ119" s="347"/>
      <c r="AK119" s="346"/>
      <c r="AL119" s="346"/>
      <c r="AM119" s="346"/>
      <c r="AN119" s="347">
        <f t="shared" si="8"/>
        <v>0</v>
      </c>
      <c r="AO119" s="347">
        <v>0.54</v>
      </c>
      <c r="AP119" s="346"/>
      <c r="AQ119" s="348">
        <f t="shared" si="10"/>
        <v>0.54</v>
      </c>
      <c r="AR119" s="340"/>
    </row>
    <row r="120" spans="1:44" s="289" customFormat="1" ht="15">
      <c r="A120" s="361" t="s">
        <v>269</v>
      </c>
      <c r="B120" s="363" t="s">
        <v>270</v>
      </c>
      <c r="C120" s="343"/>
      <c r="D120" s="343"/>
      <c r="E120" s="343">
        <v>2</v>
      </c>
      <c r="F120" s="345"/>
      <c r="G120" s="345"/>
      <c r="H120" s="345"/>
      <c r="I120" s="345">
        <f t="shared" si="22"/>
        <v>2</v>
      </c>
      <c r="J120" s="345"/>
      <c r="K120" s="345"/>
      <c r="L120" s="345"/>
      <c r="M120" s="345">
        <v>2</v>
      </c>
      <c r="N120" s="345"/>
      <c r="O120" s="345"/>
      <c r="P120" s="345"/>
      <c r="Q120" s="345">
        <f t="shared" si="23"/>
        <v>2</v>
      </c>
      <c r="R120" s="345"/>
      <c r="S120" s="345">
        <f t="shared" si="9"/>
        <v>0.2966101694915254</v>
      </c>
      <c r="T120" s="343"/>
      <c r="U120" s="344"/>
      <c r="V120" s="345"/>
      <c r="W120" s="345"/>
      <c r="X120" s="344"/>
      <c r="Y120" s="344"/>
      <c r="Z120" s="343"/>
      <c r="AA120" s="345"/>
      <c r="AB120" s="345">
        <f t="shared" si="24"/>
        <v>0</v>
      </c>
      <c r="AC120" s="345"/>
      <c r="AD120" s="343">
        <v>2</v>
      </c>
      <c r="AE120" s="345"/>
      <c r="AF120" s="345"/>
      <c r="AG120" s="345"/>
      <c r="AH120" s="345">
        <f t="shared" si="25"/>
        <v>2</v>
      </c>
      <c r="AI120" s="345"/>
      <c r="AJ120" s="347"/>
      <c r="AK120" s="346"/>
      <c r="AL120" s="346"/>
      <c r="AM120" s="346"/>
      <c r="AN120" s="347">
        <f t="shared" si="8"/>
        <v>0</v>
      </c>
      <c r="AO120" s="347">
        <v>0.35</v>
      </c>
      <c r="AP120" s="346"/>
      <c r="AQ120" s="348">
        <f t="shared" si="10"/>
        <v>0.35</v>
      </c>
      <c r="AR120" s="340"/>
    </row>
    <row r="121" spans="1:44" s="289" customFormat="1" ht="15">
      <c r="A121" s="361" t="s">
        <v>271</v>
      </c>
      <c r="B121" s="342" t="s">
        <v>272</v>
      </c>
      <c r="C121" s="343"/>
      <c r="D121" s="343"/>
      <c r="E121" s="344"/>
      <c r="F121" s="345"/>
      <c r="G121" s="345">
        <v>5</v>
      </c>
      <c r="H121" s="345"/>
      <c r="I121" s="345">
        <f t="shared" si="22"/>
        <v>5</v>
      </c>
      <c r="J121" s="345"/>
      <c r="K121" s="345"/>
      <c r="L121" s="345"/>
      <c r="M121" s="345"/>
      <c r="N121" s="345"/>
      <c r="O121" s="345">
        <v>5</v>
      </c>
      <c r="P121" s="345"/>
      <c r="Q121" s="345">
        <f t="shared" si="23"/>
        <v>5</v>
      </c>
      <c r="R121" s="345"/>
      <c r="S121" s="345">
        <f t="shared" si="9"/>
        <v>14.53813559322034</v>
      </c>
      <c r="T121" s="343"/>
      <c r="U121" s="344"/>
      <c r="V121" s="345"/>
      <c r="W121" s="345"/>
      <c r="X121" s="344"/>
      <c r="Y121" s="344"/>
      <c r="Z121" s="343"/>
      <c r="AA121" s="345"/>
      <c r="AB121" s="345">
        <f t="shared" si="24"/>
        <v>0</v>
      </c>
      <c r="AC121" s="345"/>
      <c r="AD121" s="344"/>
      <c r="AE121" s="345"/>
      <c r="AF121" s="345">
        <v>5</v>
      </c>
      <c r="AG121" s="345"/>
      <c r="AH121" s="345">
        <f t="shared" si="25"/>
        <v>5</v>
      </c>
      <c r="AI121" s="345"/>
      <c r="AJ121" s="346"/>
      <c r="AK121" s="346"/>
      <c r="AL121" s="346"/>
      <c r="AM121" s="346"/>
      <c r="AN121" s="347">
        <f t="shared" si="8"/>
        <v>0</v>
      </c>
      <c r="AO121" s="347">
        <v>9.405</v>
      </c>
      <c r="AP121" s="346">
        <f>7.02+0.73</f>
        <v>7.75</v>
      </c>
      <c r="AQ121" s="348">
        <f t="shared" si="10"/>
        <v>17.155</v>
      </c>
      <c r="AR121" s="340"/>
    </row>
    <row r="122" spans="1:44" s="289" customFormat="1" ht="15">
      <c r="A122" s="361" t="s">
        <v>273</v>
      </c>
      <c r="B122" s="342" t="s">
        <v>274</v>
      </c>
      <c r="C122" s="343"/>
      <c r="D122" s="343"/>
      <c r="E122" s="344"/>
      <c r="F122" s="345"/>
      <c r="G122" s="343">
        <v>12.6</v>
      </c>
      <c r="H122" s="345"/>
      <c r="I122" s="345">
        <f t="shared" si="22"/>
        <v>12.6</v>
      </c>
      <c r="J122" s="345"/>
      <c r="K122" s="345"/>
      <c r="L122" s="345"/>
      <c r="M122" s="345"/>
      <c r="N122" s="345"/>
      <c r="O122" s="345">
        <v>12.6</v>
      </c>
      <c r="P122" s="345"/>
      <c r="Q122" s="345">
        <f t="shared" si="23"/>
        <v>12.6</v>
      </c>
      <c r="R122" s="345"/>
      <c r="S122" s="345">
        <f t="shared" si="9"/>
        <v>7.838983050847458</v>
      </c>
      <c r="T122" s="343"/>
      <c r="U122" s="344"/>
      <c r="V122" s="345"/>
      <c r="W122" s="345"/>
      <c r="X122" s="344"/>
      <c r="Y122" s="344"/>
      <c r="Z122" s="343"/>
      <c r="AA122" s="345"/>
      <c r="AB122" s="345">
        <f t="shared" si="24"/>
        <v>0</v>
      </c>
      <c r="AC122" s="345"/>
      <c r="AD122" s="344"/>
      <c r="AE122" s="345"/>
      <c r="AF122" s="343">
        <v>12.6</v>
      </c>
      <c r="AG122" s="345"/>
      <c r="AH122" s="345">
        <f t="shared" si="25"/>
        <v>12.6</v>
      </c>
      <c r="AI122" s="345"/>
      <c r="AJ122" s="346"/>
      <c r="AK122" s="346"/>
      <c r="AL122" s="346"/>
      <c r="AM122" s="346"/>
      <c r="AN122" s="347">
        <f t="shared" si="8"/>
        <v>0</v>
      </c>
      <c r="AO122" s="346">
        <v>5.36</v>
      </c>
      <c r="AP122" s="347">
        <v>3.89</v>
      </c>
      <c r="AQ122" s="348">
        <f t="shared" si="10"/>
        <v>9.25</v>
      </c>
      <c r="AR122" s="340"/>
    </row>
    <row r="123" spans="1:44" s="289" customFormat="1" ht="15">
      <c r="A123" s="361" t="s">
        <v>275</v>
      </c>
      <c r="B123" s="342" t="s">
        <v>276</v>
      </c>
      <c r="C123" s="343"/>
      <c r="D123" s="343"/>
      <c r="E123" s="344"/>
      <c r="F123" s="345"/>
      <c r="G123" s="343">
        <v>12.6</v>
      </c>
      <c r="H123" s="345"/>
      <c r="I123" s="345">
        <f t="shared" si="22"/>
        <v>12.6</v>
      </c>
      <c r="J123" s="345"/>
      <c r="K123" s="345"/>
      <c r="L123" s="345"/>
      <c r="M123" s="345"/>
      <c r="N123" s="345"/>
      <c r="O123" s="345">
        <v>12.6</v>
      </c>
      <c r="P123" s="345"/>
      <c r="Q123" s="345">
        <f t="shared" si="23"/>
        <v>12.6</v>
      </c>
      <c r="R123" s="345"/>
      <c r="S123" s="345">
        <f t="shared" si="9"/>
        <v>5.567796610169492</v>
      </c>
      <c r="T123" s="343"/>
      <c r="U123" s="344"/>
      <c r="V123" s="345"/>
      <c r="W123" s="345"/>
      <c r="X123" s="344"/>
      <c r="Y123" s="344"/>
      <c r="Z123" s="343"/>
      <c r="AA123" s="345"/>
      <c r="AB123" s="345">
        <f t="shared" si="24"/>
        <v>0</v>
      </c>
      <c r="AC123" s="345"/>
      <c r="AD123" s="344"/>
      <c r="AE123" s="345"/>
      <c r="AF123" s="343">
        <v>12.6</v>
      </c>
      <c r="AG123" s="345"/>
      <c r="AH123" s="345">
        <f t="shared" si="25"/>
        <v>12.6</v>
      </c>
      <c r="AI123" s="345"/>
      <c r="AJ123" s="346"/>
      <c r="AK123" s="346"/>
      <c r="AL123" s="346"/>
      <c r="AM123" s="346"/>
      <c r="AN123" s="347">
        <f t="shared" si="8"/>
        <v>0</v>
      </c>
      <c r="AO123" s="346">
        <v>1</v>
      </c>
      <c r="AP123" s="346">
        <v>5.57</v>
      </c>
      <c r="AQ123" s="348">
        <f t="shared" si="10"/>
        <v>6.57</v>
      </c>
      <c r="AR123" s="340"/>
    </row>
    <row r="124" spans="1:44" s="289" customFormat="1" ht="15">
      <c r="A124" s="361" t="s">
        <v>277</v>
      </c>
      <c r="B124" s="342" t="s">
        <v>278</v>
      </c>
      <c r="C124" s="343"/>
      <c r="D124" s="343"/>
      <c r="E124" s="343">
        <v>12.6</v>
      </c>
      <c r="F124" s="345"/>
      <c r="G124" s="345"/>
      <c r="H124" s="345"/>
      <c r="I124" s="345">
        <f t="shared" si="22"/>
        <v>12.6</v>
      </c>
      <c r="J124" s="345"/>
      <c r="K124" s="345"/>
      <c r="L124" s="345"/>
      <c r="M124" s="345">
        <v>12.6</v>
      </c>
      <c r="N124" s="345"/>
      <c r="O124" s="345"/>
      <c r="P124" s="345"/>
      <c r="Q124" s="345">
        <f t="shared" si="23"/>
        <v>12.6</v>
      </c>
      <c r="R124" s="345"/>
      <c r="S124" s="345">
        <f t="shared" si="9"/>
        <v>1.9067796610169492</v>
      </c>
      <c r="T124" s="343"/>
      <c r="U124" s="344"/>
      <c r="V124" s="345"/>
      <c r="W124" s="345"/>
      <c r="X124" s="344"/>
      <c r="Y124" s="344"/>
      <c r="Z124" s="343"/>
      <c r="AA124" s="345"/>
      <c r="AB124" s="345">
        <f t="shared" si="24"/>
        <v>0</v>
      </c>
      <c r="AC124" s="345"/>
      <c r="AD124" s="343">
        <v>12.6</v>
      </c>
      <c r="AE124" s="345"/>
      <c r="AF124" s="345"/>
      <c r="AG124" s="345"/>
      <c r="AH124" s="345">
        <f t="shared" si="25"/>
        <v>12.6</v>
      </c>
      <c r="AI124" s="345"/>
      <c r="AJ124" s="346"/>
      <c r="AK124" s="346"/>
      <c r="AL124" s="346"/>
      <c r="AM124" s="346"/>
      <c r="AN124" s="347">
        <f t="shared" si="8"/>
        <v>0</v>
      </c>
      <c r="AO124" s="346">
        <v>2.25</v>
      </c>
      <c r="AP124" s="346"/>
      <c r="AQ124" s="348">
        <f t="shared" si="10"/>
        <v>2.25</v>
      </c>
      <c r="AR124" s="340"/>
    </row>
    <row r="125" spans="1:44" s="289" customFormat="1" ht="15">
      <c r="A125" s="361" t="s">
        <v>279</v>
      </c>
      <c r="B125" s="355" t="s">
        <v>280</v>
      </c>
      <c r="C125" s="343"/>
      <c r="D125" s="343"/>
      <c r="E125" s="343">
        <v>12.6</v>
      </c>
      <c r="F125" s="345"/>
      <c r="G125" s="345"/>
      <c r="H125" s="345"/>
      <c r="I125" s="345">
        <f t="shared" si="22"/>
        <v>12.6</v>
      </c>
      <c r="J125" s="345"/>
      <c r="K125" s="345"/>
      <c r="L125" s="345"/>
      <c r="M125" s="345">
        <v>12.6</v>
      </c>
      <c r="N125" s="345"/>
      <c r="O125" s="345"/>
      <c r="P125" s="345"/>
      <c r="Q125" s="345">
        <f t="shared" si="23"/>
        <v>12.6</v>
      </c>
      <c r="R125" s="345"/>
      <c r="S125" s="345">
        <f t="shared" si="9"/>
        <v>0.6491525423728814</v>
      </c>
      <c r="T125" s="343"/>
      <c r="U125" s="344"/>
      <c r="V125" s="345"/>
      <c r="W125" s="345"/>
      <c r="X125" s="344"/>
      <c r="Y125" s="344"/>
      <c r="Z125" s="343"/>
      <c r="AA125" s="345"/>
      <c r="AB125" s="345">
        <f t="shared" si="24"/>
        <v>0</v>
      </c>
      <c r="AC125" s="345"/>
      <c r="AD125" s="343">
        <v>12.6</v>
      </c>
      <c r="AE125" s="345"/>
      <c r="AF125" s="345"/>
      <c r="AG125" s="345"/>
      <c r="AH125" s="345">
        <f t="shared" si="25"/>
        <v>12.6</v>
      </c>
      <c r="AI125" s="345"/>
      <c r="AJ125" s="346"/>
      <c r="AK125" s="346"/>
      <c r="AL125" s="346"/>
      <c r="AM125" s="346"/>
      <c r="AN125" s="347">
        <f t="shared" si="8"/>
        <v>0</v>
      </c>
      <c r="AO125" s="346">
        <v>0.766</v>
      </c>
      <c r="AP125" s="346"/>
      <c r="AQ125" s="348">
        <f t="shared" si="10"/>
        <v>0.766</v>
      </c>
      <c r="AR125" s="340"/>
    </row>
    <row r="126" spans="1:44" s="289" customFormat="1" ht="15">
      <c r="A126" s="361" t="s">
        <v>281</v>
      </c>
      <c r="B126" s="342" t="s">
        <v>282</v>
      </c>
      <c r="C126" s="343"/>
      <c r="D126" s="343"/>
      <c r="E126" s="344">
        <v>20</v>
      </c>
      <c r="F126" s="345"/>
      <c r="G126" s="345"/>
      <c r="H126" s="345"/>
      <c r="I126" s="345">
        <f t="shared" si="22"/>
        <v>20</v>
      </c>
      <c r="J126" s="345"/>
      <c r="K126" s="345"/>
      <c r="L126" s="345"/>
      <c r="M126" s="345">
        <v>20</v>
      </c>
      <c r="N126" s="345"/>
      <c r="O126" s="345"/>
      <c r="P126" s="345"/>
      <c r="Q126" s="345">
        <f t="shared" si="23"/>
        <v>20</v>
      </c>
      <c r="R126" s="345"/>
      <c r="S126" s="345">
        <f t="shared" si="9"/>
        <v>7.525423728813561</v>
      </c>
      <c r="T126" s="343"/>
      <c r="U126" s="344"/>
      <c r="V126" s="345"/>
      <c r="W126" s="345"/>
      <c r="X126" s="344"/>
      <c r="Y126" s="344"/>
      <c r="Z126" s="343"/>
      <c r="AA126" s="345"/>
      <c r="AB126" s="345">
        <f t="shared" si="24"/>
        <v>0</v>
      </c>
      <c r="AC126" s="345"/>
      <c r="AD126" s="344">
        <v>20</v>
      </c>
      <c r="AE126" s="345"/>
      <c r="AF126" s="345"/>
      <c r="AG126" s="345"/>
      <c r="AH126" s="345">
        <f t="shared" si="25"/>
        <v>20</v>
      </c>
      <c r="AI126" s="345"/>
      <c r="AJ126" s="346"/>
      <c r="AK126" s="346"/>
      <c r="AL126" s="346"/>
      <c r="AM126" s="346"/>
      <c r="AN126" s="347">
        <f t="shared" si="8"/>
        <v>0</v>
      </c>
      <c r="AO126" s="346">
        <v>8.88</v>
      </c>
      <c r="AP126" s="347">
        <v>0</v>
      </c>
      <c r="AQ126" s="348">
        <f t="shared" si="10"/>
        <v>8.88</v>
      </c>
      <c r="AR126" s="340"/>
    </row>
    <row r="127" spans="1:44" s="289" customFormat="1" ht="24">
      <c r="A127" s="361" t="s">
        <v>283</v>
      </c>
      <c r="B127" s="359" t="s">
        <v>284</v>
      </c>
      <c r="C127" s="343"/>
      <c r="D127" s="343"/>
      <c r="E127" s="344">
        <v>42.6</v>
      </c>
      <c r="F127" s="345"/>
      <c r="G127" s="345"/>
      <c r="H127" s="345"/>
      <c r="I127" s="345">
        <f t="shared" si="22"/>
        <v>42.6</v>
      </c>
      <c r="J127" s="345"/>
      <c r="K127" s="345"/>
      <c r="L127" s="345"/>
      <c r="M127" s="345">
        <v>32.6</v>
      </c>
      <c r="N127" s="345"/>
      <c r="O127" s="345"/>
      <c r="P127" s="345"/>
      <c r="Q127" s="345">
        <f t="shared" si="23"/>
        <v>32.6</v>
      </c>
      <c r="R127" s="345"/>
      <c r="S127" s="345">
        <f t="shared" si="9"/>
        <v>7.205593220338983</v>
      </c>
      <c r="T127" s="343"/>
      <c r="U127" s="344"/>
      <c r="V127" s="345"/>
      <c r="W127" s="345"/>
      <c r="X127" s="344"/>
      <c r="Y127" s="344"/>
      <c r="Z127" s="343"/>
      <c r="AA127" s="345"/>
      <c r="AB127" s="345">
        <f t="shared" si="24"/>
        <v>0</v>
      </c>
      <c r="AC127" s="345"/>
      <c r="AD127" s="344">
        <v>42.6</v>
      </c>
      <c r="AE127" s="345"/>
      <c r="AF127" s="345"/>
      <c r="AG127" s="345"/>
      <c r="AH127" s="345">
        <f t="shared" si="25"/>
        <v>42.6</v>
      </c>
      <c r="AI127" s="345"/>
      <c r="AJ127" s="346"/>
      <c r="AK127" s="346"/>
      <c r="AL127" s="346"/>
      <c r="AM127" s="346"/>
      <c r="AN127" s="347">
        <f t="shared" si="8"/>
        <v>0</v>
      </c>
      <c r="AO127" s="346">
        <v>2.756</v>
      </c>
      <c r="AP127" s="347">
        <f>(4.52+0.35)*1.18</f>
        <v>5.746599999999999</v>
      </c>
      <c r="AQ127" s="348">
        <f t="shared" si="10"/>
        <v>8.5026</v>
      </c>
      <c r="AR127" s="340"/>
    </row>
    <row r="128" spans="1:44" s="354" customFormat="1" ht="15">
      <c r="A128" s="361" t="s">
        <v>285</v>
      </c>
      <c r="B128" s="356" t="s">
        <v>286</v>
      </c>
      <c r="C128" s="343"/>
      <c r="D128" s="347"/>
      <c r="E128" s="347">
        <v>10</v>
      </c>
      <c r="F128" s="347"/>
      <c r="G128" s="347"/>
      <c r="H128" s="353"/>
      <c r="I128" s="345">
        <f t="shared" si="22"/>
        <v>10</v>
      </c>
      <c r="J128" s="353"/>
      <c r="K128" s="353"/>
      <c r="L128" s="353"/>
      <c r="M128" s="353">
        <f>E128</f>
        <v>10</v>
      </c>
      <c r="N128" s="347"/>
      <c r="O128" s="347"/>
      <c r="P128" s="353"/>
      <c r="Q128" s="345">
        <f t="shared" si="23"/>
        <v>10</v>
      </c>
      <c r="R128" s="345"/>
      <c r="S128" s="345">
        <f t="shared" si="9"/>
        <v>6.508474576271187</v>
      </c>
      <c r="T128" s="353"/>
      <c r="U128" s="353"/>
      <c r="V128" s="353"/>
      <c r="W128" s="353"/>
      <c r="X128" s="353"/>
      <c r="Y128" s="347"/>
      <c r="Z128" s="347"/>
      <c r="AA128" s="353"/>
      <c r="AB128" s="345">
        <f t="shared" si="24"/>
        <v>0</v>
      </c>
      <c r="AC128" s="345"/>
      <c r="AD128" s="353">
        <f>E128</f>
        <v>10</v>
      </c>
      <c r="AE128" s="353"/>
      <c r="AF128" s="353"/>
      <c r="AG128" s="353"/>
      <c r="AH128" s="345">
        <f t="shared" si="25"/>
        <v>10</v>
      </c>
      <c r="AI128" s="353"/>
      <c r="AJ128" s="343"/>
      <c r="AK128" s="343"/>
      <c r="AL128" s="343"/>
      <c r="AM128" s="343"/>
      <c r="AN128" s="347">
        <f t="shared" si="8"/>
        <v>0</v>
      </c>
      <c r="AO128" s="347">
        <v>7.68</v>
      </c>
      <c r="AP128" s="343"/>
      <c r="AQ128" s="348">
        <f t="shared" si="10"/>
        <v>7.68</v>
      </c>
      <c r="AR128" s="340"/>
    </row>
    <row r="129" spans="1:44" s="289" customFormat="1" ht="15">
      <c r="A129" s="361" t="s">
        <v>287</v>
      </c>
      <c r="B129" s="342" t="s">
        <v>288</v>
      </c>
      <c r="C129" s="343"/>
      <c r="D129" s="343"/>
      <c r="E129" s="344">
        <v>0</v>
      </c>
      <c r="F129" s="345"/>
      <c r="G129" s="345"/>
      <c r="H129" s="345"/>
      <c r="I129" s="345">
        <f t="shared" si="22"/>
        <v>0</v>
      </c>
      <c r="J129" s="345"/>
      <c r="K129" s="345"/>
      <c r="L129" s="345"/>
      <c r="M129" s="345">
        <v>0</v>
      </c>
      <c r="N129" s="345"/>
      <c r="O129" s="345"/>
      <c r="P129" s="345"/>
      <c r="Q129" s="345">
        <f t="shared" si="23"/>
        <v>0</v>
      </c>
      <c r="R129" s="345"/>
      <c r="S129" s="345">
        <f t="shared" si="9"/>
        <v>1.972033898305085</v>
      </c>
      <c r="T129" s="343"/>
      <c r="U129" s="344"/>
      <c r="V129" s="345"/>
      <c r="W129" s="345"/>
      <c r="X129" s="344"/>
      <c r="Y129" s="344"/>
      <c r="Z129" s="343"/>
      <c r="AA129" s="345"/>
      <c r="AB129" s="345">
        <f t="shared" si="24"/>
        <v>0</v>
      </c>
      <c r="AC129" s="345"/>
      <c r="AD129" s="344">
        <v>0</v>
      </c>
      <c r="AE129" s="345"/>
      <c r="AF129" s="345"/>
      <c r="AG129" s="345"/>
      <c r="AH129" s="345">
        <f t="shared" si="25"/>
        <v>0</v>
      </c>
      <c r="AI129" s="345"/>
      <c r="AJ129" s="346"/>
      <c r="AK129" s="346"/>
      <c r="AL129" s="346"/>
      <c r="AM129" s="346"/>
      <c r="AN129" s="347">
        <f t="shared" si="8"/>
        <v>0</v>
      </c>
      <c r="AO129" s="346">
        <v>2.327</v>
      </c>
      <c r="AP129" s="347">
        <v>0</v>
      </c>
      <c r="AQ129" s="348">
        <f t="shared" si="10"/>
        <v>2.327</v>
      </c>
      <c r="AR129" s="340"/>
    </row>
    <row r="130" spans="1:44" s="289" customFormat="1" ht="15">
      <c r="A130" s="361" t="s">
        <v>289</v>
      </c>
      <c r="B130" s="342" t="s">
        <v>290</v>
      </c>
      <c r="C130" s="343"/>
      <c r="D130" s="343"/>
      <c r="E130" s="344">
        <v>0</v>
      </c>
      <c r="F130" s="345"/>
      <c r="G130" s="345"/>
      <c r="H130" s="345"/>
      <c r="I130" s="345">
        <f t="shared" si="22"/>
        <v>0</v>
      </c>
      <c r="J130" s="345"/>
      <c r="K130" s="345"/>
      <c r="L130" s="345"/>
      <c r="M130" s="345">
        <v>0</v>
      </c>
      <c r="N130" s="345"/>
      <c r="O130" s="345"/>
      <c r="P130" s="345"/>
      <c r="Q130" s="345">
        <f t="shared" si="23"/>
        <v>0</v>
      </c>
      <c r="R130" s="345"/>
      <c r="S130" s="345">
        <f t="shared" si="9"/>
        <v>0.6415254237288136</v>
      </c>
      <c r="T130" s="343"/>
      <c r="U130" s="344"/>
      <c r="V130" s="345"/>
      <c r="W130" s="345"/>
      <c r="X130" s="344"/>
      <c r="Y130" s="344"/>
      <c r="Z130" s="343"/>
      <c r="AA130" s="345"/>
      <c r="AB130" s="345">
        <f t="shared" si="24"/>
        <v>0</v>
      </c>
      <c r="AC130" s="345"/>
      <c r="AD130" s="344">
        <v>0</v>
      </c>
      <c r="AE130" s="345"/>
      <c r="AF130" s="345"/>
      <c r="AG130" s="345"/>
      <c r="AH130" s="345">
        <f t="shared" si="25"/>
        <v>0</v>
      </c>
      <c r="AI130" s="345"/>
      <c r="AJ130" s="346"/>
      <c r="AK130" s="346"/>
      <c r="AL130" s="346"/>
      <c r="AM130" s="346"/>
      <c r="AN130" s="347">
        <f t="shared" si="8"/>
        <v>0</v>
      </c>
      <c r="AO130" s="346">
        <v>0.757</v>
      </c>
      <c r="AP130" s="346"/>
      <c r="AQ130" s="348">
        <f t="shared" si="10"/>
        <v>0.757</v>
      </c>
      <c r="AR130" s="340"/>
    </row>
    <row r="131" spans="1:44" s="289" customFormat="1" ht="15">
      <c r="A131" s="361" t="s">
        <v>291</v>
      </c>
      <c r="B131" s="342" t="s">
        <v>292</v>
      </c>
      <c r="C131" s="343"/>
      <c r="D131" s="343"/>
      <c r="E131" s="344">
        <v>0</v>
      </c>
      <c r="F131" s="345"/>
      <c r="G131" s="345"/>
      <c r="H131" s="345"/>
      <c r="I131" s="345">
        <f t="shared" si="22"/>
        <v>0</v>
      </c>
      <c r="J131" s="345"/>
      <c r="K131" s="345"/>
      <c r="L131" s="345"/>
      <c r="M131" s="345">
        <v>0</v>
      </c>
      <c r="N131" s="345"/>
      <c r="O131" s="345"/>
      <c r="P131" s="345"/>
      <c r="Q131" s="345">
        <f t="shared" si="23"/>
        <v>0</v>
      </c>
      <c r="R131" s="345"/>
      <c r="S131" s="345">
        <f t="shared" si="9"/>
        <v>4.050847457627119</v>
      </c>
      <c r="T131" s="343"/>
      <c r="U131" s="344"/>
      <c r="V131" s="345"/>
      <c r="W131" s="345"/>
      <c r="X131" s="344"/>
      <c r="Y131" s="344"/>
      <c r="Z131" s="343"/>
      <c r="AA131" s="345"/>
      <c r="AB131" s="345">
        <f t="shared" si="24"/>
        <v>0</v>
      </c>
      <c r="AC131" s="345"/>
      <c r="AD131" s="344">
        <v>0</v>
      </c>
      <c r="AE131" s="345"/>
      <c r="AF131" s="345"/>
      <c r="AG131" s="345"/>
      <c r="AH131" s="345">
        <f t="shared" si="25"/>
        <v>0</v>
      </c>
      <c r="AI131" s="345"/>
      <c r="AJ131" s="346"/>
      <c r="AK131" s="346"/>
      <c r="AL131" s="346"/>
      <c r="AM131" s="346"/>
      <c r="AN131" s="347">
        <f t="shared" si="8"/>
        <v>0</v>
      </c>
      <c r="AO131" s="346">
        <v>4.78</v>
      </c>
      <c r="AP131" s="346"/>
      <c r="AQ131" s="348">
        <f t="shared" si="10"/>
        <v>4.78</v>
      </c>
      <c r="AR131" s="340"/>
    </row>
    <row r="132" spans="1:44" s="289" customFormat="1" ht="15">
      <c r="A132" s="361" t="s">
        <v>293</v>
      </c>
      <c r="B132" s="342" t="s">
        <v>294</v>
      </c>
      <c r="C132" s="343"/>
      <c r="D132" s="343"/>
      <c r="E132" s="344"/>
      <c r="F132" s="345"/>
      <c r="G132" s="345">
        <v>0</v>
      </c>
      <c r="H132" s="345"/>
      <c r="I132" s="345"/>
      <c r="J132" s="345"/>
      <c r="K132" s="345"/>
      <c r="L132" s="345"/>
      <c r="M132" s="345"/>
      <c r="N132" s="345"/>
      <c r="O132" s="345">
        <v>0</v>
      </c>
      <c r="P132" s="345"/>
      <c r="Q132" s="345"/>
      <c r="R132" s="345"/>
      <c r="S132" s="345">
        <f t="shared" si="9"/>
        <v>10.694915254237287</v>
      </c>
      <c r="T132" s="343"/>
      <c r="U132" s="344"/>
      <c r="V132" s="345"/>
      <c r="W132" s="345"/>
      <c r="X132" s="344"/>
      <c r="Y132" s="344"/>
      <c r="Z132" s="343"/>
      <c r="AA132" s="345"/>
      <c r="AB132" s="345">
        <v>0</v>
      </c>
      <c r="AC132" s="345"/>
      <c r="AD132" s="344">
        <v>0</v>
      </c>
      <c r="AE132" s="345"/>
      <c r="AF132" s="345">
        <v>0</v>
      </c>
      <c r="AG132" s="345"/>
      <c r="AH132" s="345">
        <v>0</v>
      </c>
      <c r="AI132" s="345"/>
      <c r="AJ132" s="346"/>
      <c r="AK132" s="346"/>
      <c r="AL132" s="346"/>
      <c r="AM132" s="346"/>
      <c r="AN132" s="347">
        <v>0</v>
      </c>
      <c r="AO132" s="346"/>
      <c r="AP132" s="346">
        <f>'приложение 1.1'!V129</f>
        <v>12.62</v>
      </c>
      <c r="AQ132" s="348">
        <f t="shared" si="10"/>
        <v>12.62</v>
      </c>
      <c r="AR132" s="340"/>
    </row>
    <row r="133" spans="1:44" s="354" customFormat="1" ht="15">
      <c r="A133" s="361" t="s">
        <v>295</v>
      </c>
      <c r="B133" s="356" t="s">
        <v>296</v>
      </c>
      <c r="C133" s="353"/>
      <c r="D133" s="347"/>
      <c r="E133" s="353"/>
      <c r="F133" s="353"/>
      <c r="G133" s="353"/>
      <c r="H133" s="347">
        <v>0.135</v>
      </c>
      <c r="I133" s="353"/>
      <c r="J133" s="345">
        <f>C133+D133+E133+F133+G133+H133</f>
        <v>0.135</v>
      </c>
      <c r="K133" s="353"/>
      <c r="L133" s="353"/>
      <c r="M133" s="353"/>
      <c r="N133" s="353"/>
      <c r="O133" s="353"/>
      <c r="P133" s="353">
        <f>H133</f>
        <v>0.135</v>
      </c>
      <c r="Q133" s="345"/>
      <c r="R133" s="345">
        <f>K133+L133+M133+N133+O133+P133</f>
        <v>0.135</v>
      </c>
      <c r="S133" s="345">
        <f t="shared" si="9"/>
        <v>0.7070000000000001</v>
      </c>
      <c r="T133" s="353"/>
      <c r="U133" s="353"/>
      <c r="V133" s="353"/>
      <c r="W133" s="353"/>
      <c r="X133" s="353"/>
      <c r="Y133" s="347"/>
      <c r="Z133" s="347"/>
      <c r="AA133" s="353"/>
      <c r="AB133" s="353"/>
      <c r="AC133" s="345">
        <f>AA133+Z133+Y133+X133+W133+V133+U133+T133</f>
        <v>0</v>
      </c>
      <c r="AD133" s="353"/>
      <c r="AE133" s="353"/>
      <c r="AF133" s="353"/>
      <c r="AG133" s="353">
        <f>H133</f>
        <v>0.135</v>
      </c>
      <c r="AH133" s="345"/>
      <c r="AI133" s="353">
        <f>AC133+AE133+AG133</f>
        <v>0.135</v>
      </c>
      <c r="AJ133" s="343"/>
      <c r="AK133" s="343"/>
      <c r="AL133" s="343"/>
      <c r="AM133" s="343"/>
      <c r="AN133" s="347">
        <f aca="true" t="shared" si="26" ref="AN133:AN141">AM133+AL133+AK133+AJ133</f>
        <v>0</v>
      </c>
      <c r="AO133" s="343"/>
      <c r="AP133" s="347">
        <f>(0.66+0.047)*1.18</f>
        <v>0.83426</v>
      </c>
      <c r="AQ133" s="348">
        <f t="shared" si="10"/>
        <v>0.83426</v>
      </c>
      <c r="AR133" s="340"/>
    </row>
    <row r="134" spans="1:44" s="354" customFormat="1" ht="15">
      <c r="A134" s="361" t="s">
        <v>297</v>
      </c>
      <c r="B134" s="356" t="s">
        <v>298</v>
      </c>
      <c r="C134" s="353"/>
      <c r="D134" s="347"/>
      <c r="E134" s="353"/>
      <c r="F134" s="353"/>
      <c r="G134" s="353"/>
      <c r="H134" s="347">
        <v>0.145</v>
      </c>
      <c r="I134" s="353"/>
      <c r="J134" s="345">
        <f>C134+D134+E134+F134+G134+H134</f>
        <v>0.145</v>
      </c>
      <c r="K134" s="353"/>
      <c r="L134" s="353"/>
      <c r="M134" s="353"/>
      <c r="N134" s="353"/>
      <c r="O134" s="353"/>
      <c r="P134" s="353">
        <f>H134</f>
        <v>0.145</v>
      </c>
      <c r="Q134" s="345"/>
      <c r="R134" s="345">
        <f>K134+L134+M134+N134+O134+P134</f>
        <v>0.145</v>
      </c>
      <c r="S134" s="345">
        <f t="shared" si="9"/>
        <v>0.5900000000000001</v>
      </c>
      <c r="T134" s="353"/>
      <c r="U134" s="353"/>
      <c r="V134" s="353"/>
      <c r="W134" s="353"/>
      <c r="X134" s="353"/>
      <c r="Y134" s="347"/>
      <c r="Z134" s="347"/>
      <c r="AA134" s="353"/>
      <c r="AB134" s="353"/>
      <c r="AC134" s="345">
        <f>AA134+Z134+Y134+X134+W134+V134+U134+T134</f>
        <v>0</v>
      </c>
      <c r="AD134" s="353"/>
      <c r="AE134" s="353"/>
      <c r="AF134" s="353"/>
      <c r="AG134" s="353">
        <f>H134</f>
        <v>0.145</v>
      </c>
      <c r="AH134" s="345"/>
      <c r="AI134" s="353">
        <f>AC134+AE134+AG134</f>
        <v>0.145</v>
      </c>
      <c r="AJ134" s="343"/>
      <c r="AK134" s="343"/>
      <c r="AL134" s="343"/>
      <c r="AM134" s="343"/>
      <c r="AN134" s="347">
        <f t="shared" si="26"/>
        <v>0</v>
      </c>
      <c r="AO134" s="343"/>
      <c r="AP134" s="347">
        <f>(0.56+0.03)*1.18</f>
        <v>0.6962</v>
      </c>
      <c r="AQ134" s="348">
        <f t="shared" si="10"/>
        <v>0.6962</v>
      </c>
      <c r="AR134" s="340"/>
    </row>
    <row r="135" spans="1:44" s="354" customFormat="1" ht="24">
      <c r="A135" s="361" t="s">
        <v>299</v>
      </c>
      <c r="B135" s="356" t="s">
        <v>300</v>
      </c>
      <c r="C135" s="353"/>
      <c r="D135" s="347"/>
      <c r="E135" s="353"/>
      <c r="F135" s="353"/>
      <c r="G135" s="353"/>
      <c r="H135" s="347">
        <v>0.2</v>
      </c>
      <c r="I135" s="353"/>
      <c r="J135" s="345">
        <f>C135+D135+E135+F135+G135+H135</f>
        <v>0.2</v>
      </c>
      <c r="K135" s="353"/>
      <c r="L135" s="353"/>
      <c r="M135" s="353"/>
      <c r="N135" s="353"/>
      <c r="O135" s="353"/>
      <c r="P135" s="353">
        <f>H135</f>
        <v>0.2</v>
      </c>
      <c r="Q135" s="345"/>
      <c r="R135" s="345">
        <f>K135+L135+M135+N135+O135+P135</f>
        <v>0.2</v>
      </c>
      <c r="S135" s="345">
        <f t="shared" si="9"/>
        <v>0.42000000000000004</v>
      </c>
      <c r="T135" s="353"/>
      <c r="U135" s="353"/>
      <c r="V135" s="353"/>
      <c r="W135" s="353"/>
      <c r="X135" s="353"/>
      <c r="Y135" s="347"/>
      <c r="Z135" s="347"/>
      <c r="AA135" s="353"/>
      <c r="AB135" s="353"/>
      <c r="AC135" s="345">
        <f>AA135+Z135+Y135+X135+W135+V135+U135+T135</f>
        <v>0</v>
      </c>
      <c r="AD135" s="353"/>
      <c r="AE135" s="353"/>
      <c r="AF135" s="353"/>
      <c r="AG135" s="353">
        <f>H135</f>
        <v>0.2</v>
      </c>
      <c r="AH135" s="345"/>
      <c r="AI135" s="353">
        <f>AC135+AE135+AG135</f>
        <v>0.2</v>
      </c>
      <c r="AJ135" s="343"/>
      <c r="AK135" s="343"/>
      <c r="AL135" s="343"/>
      <c r="AM135" s="343"/>
      <c r="AN135" s="347">
        <f t="shared" si="26"/>
        <v>0</v>
      </c>
      <c r="AO135" s="343"/>
      <c r="AP135" s="347">
        <f>(0.4+0.02)*1.18</f>
        <v>0.49560000000000004</v>
      </c>
      <c r="AQ135" s="348">
        <f t="shared" si="10"/>
        <v>0.49560000000000004</v>
      </c>
      <c r="AR135" s="340"/>
    </row>
    <row r="136" spans="1:44" s="354" customFormat="1" ht="15">
      <c r="A136" s="361" t="s">
        <v>301</v>
      </c>
      <c r="B136" s="356" t="s">
        <v>302</v>
      </c>
      <c r="C136" s="353"/>
      <c r="D136" s="347"/>
      <c r="E136" s="353"/>
      <c r="F136" s="353"/>
      <c r="G136" s="347">
        <v>2</v>
      </c>
      <c r="H136" s="347"/>
      <c r="I136" s="345">
        <f aca="true" t="shared" si="27" ref="I136:I141">H136+G136+F136+E136+D136+C136</f>
        <v>2</v>
      </c>
      <c r="J136" s="353"/>
      <c r="K136" s="353"/>
      <c r="L136" s="353"/>
      <c r="M136" s="353"/>
      <c r="N136" s="353"/>
      <c r="O136" s="353">
        <f>G136</f>
        <v>2</v>
      </c>
      <c r="P136" s="347"/>
      <c r="Q136" s="345">
        <f aca="true" t="shared" si="28" ref="Q136:Q141">P136+O136+N136+M136+L136+K136</f>
        <v>2</v>
      </c>
      <c r="R136" s="345"/>
      <c r="S136" s="345">
        <f t="shared" si="9"/>
        <v>0.42000000000000004</v>
      </c>
      <c r="T136" s="353"/>
      <c r="U136" s="353"/>
      <c r="V136" s="353"/>
      <c r="W136" s="353"/>
      <c r="X136" s="353"/>
      <c r="Y136" s="347"/>
      <c r="Z136" s="347"/>
      <c r="AA136" s="353"/>
      <c r="AB136" s="345">
        <f aca="true" t="shared" si="29" ref="AB136:AB141">AA136+Z136+Y136+X136+W136+V136+U136+T136</f>
        <v>0</v>
      </c>
      <c r="AC136" s="345"/>
      <c r="AD136" s="353"/>
      <c r="AE136" s="353"/>
      <c r="AF136" s="353">
        <f aca="true" t="shared" si="30" ref="AF136:AF141">G136</f>
        <v>2</v>
      </c>
      <c r="AG136" s="353"/>
      <c r="AH136" s="345">
        <f aca="true" t="shared" si="31" ref="AH136:AH141">AB136+AD136+AF136</f>
        <v>2</v>
      </c>
      <c r="AI136" s="353"/>
      <c r="AJ136" s="343"/>
      <c r="AK136" s="343"/>
      <c r="AL136" s="343"/>
      <c r="AM136" s="343"/>
      <c r="AN136" s="347">
        <f t="shared" si="26"/>
        <v>0</v>
      </c>
      <c r="AO136" s="343"/>
      <c r="AP136" s="347">
        <f>(0.4+0.02)*1.18</f>
        <v>0.49560000000000004</v>
      </c>
      <c r="AQ136" s="348">
        <f t="shared" si="10"/>
        <v>0.49560000000000004</v>
      </c>
      <c r="AR136" s="340"/>
    </row>
    <row r="137" spans="1:44" s="354" customFormat="1" ht="15">
      <c r="A137" s="361" t="s">
        <v>303</v>
      </c>
      <c r="B137" s="356" t="s">
        <v>304</v>
      </c>
      <c r="C137" s="353"/>
      <c r="D137" s="347"/>
      <c r="E137" s="353"/>
      <c r="F137" s="353"/>
      <c r="G137" s="347">
        <v>0.25</v>
      </c>
      <c r="H137" s="347"/>
      <c r="I137" s="345">
        <f t="shared" si="27"/>
        <v>0.25</v>
      </c>
      <c r="J137" s="353"/>
      <c r="K137" s="353"/>
      <c r="L137" s="353"/>
      <c r="M137" s="353"/>
      <c r="N137" s="353"/>
      <c r="O137" s="353">
        <v>0.4</v>
      </c>
      <c r="P137" s="347"/>
      <c r="Q137" s="345">
        <f t="shared" si="28"/>
        <v>0.4</v>
      </c>
      <c r="R137" s="345"/>
      <c r="S137" s="345">
        <f t="shared" si="9"/>
        <v>0.54</v>
      </c>
      <c r="T137" s="353"/>
      <c r="U137" s="353"/>
      <c r="V137" s="353"/>
      <c r="W137" s="353"/>
      <c r="X137" s="353"/>
      <c r="Y137" s="347"/>
      <c r="Z137" s="347"/>
      <c r="AA137" s="353"/>
      <c r="AB137" s="345">
        <f t="shared" si="29"/>
        <v>0</v>
      </c>
      <c r="AC137" s="345"/>
      <c r="AD137" s="353"/>
      <c r="AE137" s="353"/>
      <c r="AF137" s="353">
        <f t="shared" si="30"/>
        <v>0.25</v>
      </c>
      <c r="AG137" s="353"/>
      <c r="AH137" s="345">
        <f t="shared" si="31"/>
        <v>0.25</v>
      </c>
      <c r="AI137" s="353"/>
      <c r="AJ137" s="343"/>
      <c r="AK137" s="343"/>
      <c r="AL137" s="343"/>
      <c r="AM137" s="343"/>
      <c r="AN137" s="347">
        <f t="shared" si="26"/>
        <v>0</v>
      </c>
      <c r="AO137" s="343"/>
      <c r="AP137" s="347">
        <f>(0.51+0.03)*1.18</f>
        <v>0.6372</v>
      </c>
      <c r="AQ137" s="348">
        <f t="shared" si="10"/>
        <v>0.6372</v>
      </c>
      <c r="AR137" s="340"/>
    </row>
    <row r="138" spans="1:44" s="354" customFormat="1" ht="15">
      <c r="A138" s="361" t="s">
        <v>305</v>
      </c>
      <c r="B138" s="356" t="s">
        <v>306</v>
      </c>
      <c r="C138" s="353"/>
      <c r="D138" s="347"/>
      <c r="E138" s="353"/>
      <c r="F138" s="353"/>
      <c r="G138" s="347">
        <v>0.4</v>
      </c>
      <c r="H138" s="347"/>
      <c r="I138" s="345">
        <f t="shared" si="27"/>
        <v>0.4</v>
      </c>
      <c r="J138" s="353"/>
      <c r="K138" s="353"/>
      <c r="L138" s="353"/>
      <c r="M138" s="353"/>
      <c r="N138" s="353"/>
      <c r="O138" s="353">
        <v>0.25</v>
      </c>
      <c r="P138" s="347"/>
      <c r="Q138" s="345">
        <f t="shared" si="28"/>
        <v>0.25</v>
      </c>
      <c r="R138" s="345"/>
      <c r="S138" s="345">
        <f t="shared" si="9"/>
        <v>0.64</v>
      </c>
      <c r="T138" s="353"/>
      <c r="U138" s="353"/>
      <c r="V138" s="353"/>
      <c r="W138" s="353"/>
      <c r="X138" s="353"/>
      <c r="Y138" s="347"/>
      <c r="Z138" s="347"/>
      <c r="AA138" s="353"/>
      <c r="AB138" s="345">
        <f t="shared" si="29"/>
        <v>0</v>
      </c>
      <c r="AC138" s="345"/>
      <c r="AD138" s="353"/>
      <c r="AE138" s="353"/>
      <c r="AF138" s="353">
        <f t="shared" si="30"/>
        <v>0.4</v>
      </c>
      <c r="AG138" s="353"/>
      <c r="AH138" s="345">
        <f t="shared" si="31"/>
        <v>0.4</v>
      </c>
      <c r="AI138" s="353"/>
      <c r="AJ138" s="343"/>
      <c r="AK138" s="343"/>
      <c r="AL138" s="343"/>
      <c r="AM138" s="343"/>
      <c r="AN138" s="347">
        <f t="shared" si="26"/>
        <v>0</v>
      </c>
      <c r="AO138" s="343"/>
      <c r="AP138" s="347">
        <f>(0.61+0.03)*1.18</f>
        <v>0.7552</v>
      </c>
      <c r="AQ138" s="348">
        <f t="shared" si="10"/>
        <v>0.7552</v>
      </c>
      <c r="AR138" s="340"/>
    </row>
    <row r="139" spans="1:44" s="354" customFormat="1" ht="15">
      <c r="A139" s="361" t="s">
        <v>307</v>
      </c>
      <c r="B139" s="356" t="s">
        <v>308</v>
      </c>
      <c r="C139" s="353"/>
      <c r="D139" s="347"/>
      <c r="E139" s="343"/>
      <c r="F139" s="343"/>
      <c r="G139" s="343">
        <v>0.25</v>
      </c>
      <c r="H139" s="347"/>
      <c r="I139" s="345">
        <f t="shared" si="27"/>
        <v>0.25</v>
      </c>
      <c r="J139" s="353"/>
      <c r="K139" s="353"/>
      <c r="L139" s="343"/>
      <c r="M139" s="343"/>
      <c r="N139" s="343"/>
      <c r="O139" s="343">
        <v>0.4</v>
      </c>
      <c r="P139" s="347"/>
      <c r="Q139" s="345">
        <f t="shared" si="28"/>
        <v>0.4</v>
      </c>
      <c r="R139" s="345"/>
      <c r="S139" s="345">
        <f t="shared" si="9"/>
        <v>0.54</v>
      </c>
      <c r="T139" s="347"/>
      <c r="U139" s="347"/>
      <c r="V139" s="347"/>
      <c r="W139" s="343"/>
      <c r="X139" s="343"/>
      <c r="Y139" s="343"/>
      <c r="Z139" s="343"/>
      <c r="AA139" s="343"/>
      <c r="AB139" s="345">
        <f t="shared" si="29"/>
        <v>0</v>
      </c>
      <c r="AC139" s="345"/>
      <c r="AD139" s="353"/>
      <c r="AE139" s="343"/>
      <c r="AF139" s="353">
        <f t="shared" si="30"/>
        <v>0.25</v>
      </c>
      <c r="AG139" s="353"/>
      <c r="AH139" s="345">
        <f t="shared" si="31"/>
        <v>0.25</v>
      </c>
      <c r="AI139" s="353"/>
      <c r="AJ139" s="343"/>
      <c r="AK139" s="343"/>
      <c r="AL139" s="343"/>
      <c r="AM139" s="343"/>
      <c r="AN139" s="347">
        <f t="shared" si="26"/>
        <v>0</v>
      </c>
      <c r="AO139" s="343"/>
      <c r="AP139" s="347">
        <f>(0.51+0.03)*1.18</f>
        <v>0.6372</v>
      </c>
      <c r="AQ139" s="348">
        <f t="shared" si="10"/>
        <v>0.6372</v>
      </c>
      <c r="AR139" s="340"/>
    </row>
    <row r="140" spans="1:44" s="354" customFormat="1" ht="15">
      <c r="A140" s="361" t="s">
        <v>309</v>
      </c>
      <c r="B140" s="356" t="s">
        <v>310</v>
      </c>
      <c r="C140" s="353"/>
      <c r="D140" s="347"/>
      <c r="E140" s="343"/>
      <c r="F140" s="343"/>
      <c r="G140" s="347">
        <v>0.25</v>
      </c>
      <c r="H140" s="347"/>
      <c r="I140" s="345">
        <f t="shared" si="27"/>
        <v>0.25</v>
      </c>
      <c r="J140" s="353"/>
      <c r="K140" s="353"/>
      <c r="L140" s="343"/>
      <c r="M140" s="343"/>
      <c r="N140" s="343"/>
      <c r="O140" s="343">
        <v>0.4</v>
      </c>
      <c r="P140" s="347"/>
      <c r="Q140" s="345">
        <f t="shared" si="28"/>
        <v>0.4</v>
      </c>
      <c r="R140" s="345"/>
      <c r="S140" s="345">
        <f t="shared" si="9"/>
        <v>0.54</v>
      </c>
      <c r="T140" s="347"/>
      <c r="U140" s="347"/>
      <c r="V140" s="347"/>
      <c r="W140" s="343"/>
      <c r="X140" s="343"/>
      <c r="Y140" s="343"/>
      <c r="Z140" s="343"/>
      <c r="AA140" s="343"/>
      <c r="AB140" s="345">
        <f t="shared" si="29"/>
        <v>0</v>
      </c>
      <c r="AC140" s="345"/>
      <c r="AD140" s="353"/>
      <c r="AE140" s="343"/>
      <c r="AF140" s="353">
        <f t="shared" si="30"/>
        <v>0.25</v>
      </c>
      <c r="AG140" s="353"/>
      <c r="AH140" s="345">
        <f t="shared" si="31"/>
        <v>0.25</v>
      </c>
      <c r="AI140" s="353"/>
      <c r="AJ140" s="343"/>
      <c r="AK140" s="343"/>
      <c r="AL140" s="343"/>
      <c r="AM140" s="343"/>
      <c r="AN140" s="347">
        <f t="shared" si="26"/>
        <v>0</v>
      </c>
      <c r="AO140" s="343"/>
      <c r="AP140" s="347">
        <f>(0.51+0.03)*1.18</f>
        <v>0.6372</v>
      </c>
      <c r="AQ140" s="348">
        <f t="shared" si="10"/>
        <v>0.6372</v>
      </c>
      <c r="AR140" s="340"/>
    </row>
    <row r="141" spans="1:44" s="354" customFormat="1" ht="15">
      <c r="A141" s="361" t="s">
        <v>311</v>
      </c>
      <c r="B141" s="357" t="s">
        <v>312</v>
      </c>
      <c r="C141" s="353"/>
      <c r="D141" s="347"/>
      <c r="E141" s="343"/>
      <c r="F141" s="343"/>
      <c r="G141" s="347">
        <v>20</v>
      </c>
      <c r="H141" s="347"/>
      <c r="I141" s="345">
        <f t="shared" si="27"/>
        <v>20</v>
      </c>
      <c r="J141" s="353"/>
      <c r="K141" s="353"/>
      <c r="L141" s="353"/>
      <c r="M141" s="353"/>
      <c r="N141" s="343"/>
      <c r="O141" s="343">
        <f>G141</f>
        <v>20</v>
      </c>
      <c r="P141" s="343"/>
      <c r="Q141" s="345">
        <f t="shared" si="28"/>
        <v>20</v>
      </c>
      <c r="R141" s="345"/>
      <c r="S141" s="345">
        <f t="shared" si="9"/>
        <v>4.76</v>
      </c>
      <c r="T141" s="343"/>
      <c r="U141" s="343"/>
      <c r="V141" s="343"/>
      <c r="W141" s="343"/>
      <c r="X141" s="343"/>
      <c r="Y141" s="343"/>
      <c r="Z141" s="343"/>
      <c r="AA141" s="347"/>
      <c r="AB141" s="345">
        <f t="shared" si="29"/>
        <v>0</v>
      </c>
      <c r="AC141" s="345"/>
      <c r="AD141" s="353"/>
      <c r="AE141" s="343"/>
      <c r="AF141" s="353">
        <f t="shared" si="30"/>
        <v>20</v>
      </c>
      <c r="AG141" s="353"/>
      <c r="AH141" s="345">
        <f t="shared" si="31"/>
        <v>20</v>
      </c>
      <c r="AI141" s="353"/>
      <c r="AJ141" s="343"/>
      <c r="AK141" s="343"/>
      <c r="AL141" s="343"/>
      <c r="AM141" s="343"/>
      <c r="AN141" s="347">
        <f t="shared" si="26"/>
        <v>0</v>
      </c>
      <c r="AO141" s="343"/>
      <c r="AP141" s="347">
        <f>(4.5+0.26)*1.18</f>
        <v>5.6168</v>
      </c>
      <c r="AQ141" s="348">
        <f t="shared" si="10"/>
        <v>5.6168</v>
      </c>
      <c r="AR141" s="340"/>
    </row>
    <row r="142" spans="1:44" s="354" customFormat="1" ht="24">
      <c r="A142" s="364" t="s">
        <v>313</v>
      </c>
      <c r="B142" s="365" t="s">
        <v>314</v>
      </c>
      <c r="C142" s="366"/>
      <c r="D142" s="367"/>
      <c r="E142" s="368"/>
      <c r="F142" s="368"/>
      <c r="G142" s="367"/>
      <c r="H142" s="367"/>
      <c r="I142" s="366"/>
      <c r="J142" s="366"/>
      <c r="K142" s="366"/>
      <c r="L142" s="367"/>
      <c r="M142" s="367"/>
      <c r="N142" s="368"/>
      <c r="O142" s="368"/>
      <c r="P142" s="367"/>
      <c r="Q142" s="367"/>
      <c r="R142" s="366"/>
      <c r="S142" s="368"/>
      <c r="T142" s="368"/>
      <c r="U142" s="368"/>
      <c r="V142" s="368"/>
      <c r="W142" s="367"/>
      <c r="X142" s="367"/>
      <c r="Y142" s="368"/>
      <c r="Z142" s="368"/>
      <c r="AA142" s="368"/>
      <c r="AB142" s="368"/>
      <c r="AC142" s="366"/>
      <c r="AD142" s="366"/>
      <c r="AE142" s="368"/>
      <c r="AF142" s="366"/>
      <c r="AG142" s="366"/>
      <c r="AH142" s="366"/>
      <c r="AI142" s="366"/>
      <c r="AJ142" s="368"/>
      <c r="AK142" s="368"/>
      <c r="AL142" s="368"/>
      <c r="AM142" s="368"/>
      <c r="AN142" s="366"/>
      <c r="AO142" s="368"/>
      <c r="AP142" s="367"/>
      <c r="AQ142" s="369"/>
      <c r="AR142" s="320"/>
    </row>
    <row r="143" spans="1:44" s="354" customFormat="1" ht="15">
      <c r="A143" s="370"/>
      <c r="B143" s="371"/>
      <c r="C143" s="353"/>
      <c r="D143" s="347"/>
      <c r="E143" s="343"/>
      <c r="F143" s="343"/>
      <c r="G143" s="347"/>
      <c r="H143" s="347"/>
      <c r="I143" s="353"/>
      <c r="J143" s="353"/>
      <c r="K143" s="353"/>
      <c r="L143" s="347"/>
      <c r="M143" s="347"/>
      <c r="N143" s="343"/>
      <c r="O143" s="343"/>
      <c r="P143" s="347"/>
      <c r="Q143" s="347"/>
      <c r="R143" s="353"/>
      <c r="S143" s="343"/>
      <c r="T143" s="343"/>
      <c r="U143" s="343"/>
      <c r="V143" s="343"/>
      <c r="W143" s="347"/>
      <c r="X143" s="347"/>
      <c r="Y143" s="343"/>
      <c r="Z143" s="343"/>
      <c r="AA143" s="343"/>
      <c r="AB143" s="343"/>
      <c r="AC143" s="353"/>
      <c r="AD143" s="353"/>
      <c r="AE143" s="343"/>
      <c r="AF143" s="353"/>
      <c r="AG143" s="353"/>
      <c r="AH143" s="353"/>
      <c r="AI143" s="353"/>
      <c r="AJ143" s="343"/>
      <c r="AK143" s="343"/>
      <c r="AL143" s="343"/>
      <c r="AM143" s="343"/>
      <c r="AN143" s="353"/>
      <c r="AO143" s="343"/>
      <c r="AP143" s="347"/>
      <c r="AQ143" s="372"/>
      <c r="AR143" s="320"/>
    </row>
    <row r="144" spans="1:44" s="354" customFormat="1" ht="15">
      <c r="A144" s="364" t="s">
        <v>315</v>
      </c>
      <c r="B144" s="365" t="s">
        <v>316</v>
      </c>
      <c r="C144" s="366"/>
      <c r="D144" s="367"/>
      <c r="E144" s="368"/>
      <c r="F144" s="368"/>
      <c r="G144" s="367"/>
      <c r="H144" s="367"/>
      <c r="I144" s="366"/>
      <c r="J144" s="366"/>
      <c r="K144" s="366"/>
      <c r="L144" s="367"/>
      <c r="M144" s="367"/>
      <c r="N144" s="368"/>
      <c r="O144" s="368"/>
      <c r="P144" s="367"/>
      <c r="Q144" s="367"/>
      <c r="R144" s="366"/>
      <c r="S144" s="368"/>
      <c r="T144" s="368"/>
      <c r="U144" s="368"/>
      <c r="V144" s="368"/>
      <c r="W144" s="367"/>
      <c r="X144" s="367"/>
      <c r="Y144" s="368"/>
      <c r="Z144" s="368"/>
      <c r="AA144" s="368"/>
      <c r="AB144" s="368"/>
      <c r="AC144" s="366"/>
      <c r="AD144" s="366"/>
      <c r="AE144" s="368"/>
      <c r="AF144" s="366"/>
      <c r="AG144" s="366"/>
      <c r="AH144" s="366"/>
      <c r="AI144" s="366"/>
      <c r="AJ144" s="368"/>
      <c r="AK144" s="368"/>
      <c r="AL144" s="368"/>
      <c r="AM144" s="368"/>
      <c r="AN144" s="366"/>
      <c r="AO144" s="368"/>
      <c r="AP144" s="367"/>
      <c r="AQ144" s="369"/>
      <c r="AR144" s="320"/>
    </row>
    <row r="145" spans="1:44" s="354" customFormat="1" ht="15">
      <c r="A145" s="370"/>
      <c r="B145" s="371"/>
      <c r="C145" s="353"/>
      <c r="D145" s="347"/>
      <c r="E145" s="343"/>
      <c r="F145" s="343"/>
      <c r="G145" s="347"/>
      <c r="H145" s="347"/>
      <c r="I145" s="353"/>
      <c r="J145" s="353"/>
      <c r="K145" s="353"/>
      <c r="L145" s="347"/>
      <c r="M145" s="347"/>
      <c r="N145" s="343"/>
      <c r="O145" s="343"/>
      <c r="P145" s="347"/>
      <c r="Q145" s="347"/>
      <c r="R145" s="353"/>
      <c r="S145" s="343"/>
      <c r="T145" s="343"/>
      <c r="U145" s="343"/>
      <c r="V145" s="343"/>
      <c r="W145" s="347"/>
      <c r="X145" s="347"/>
      <c r="Y145" s="343"/>
      <c r="Z145" s="343"/>
      <c r="AA145" s="343"/>
      <c r="AB145" s="343"/>
      <c r="AC145" s="353"/>
      <c r="AD145" s="353"/>
      <c r="AE145" s="343"/>
      <c r="AF145" s="353"/>
      <c r="AG145" s="353"/>
      <c r="AH145" s="353"/>
      <c r="AI145" s="353"/>
      <c r="AJ145" s="343"/>
      <c r="AK145" s="343"/>
      <c r="AL145" s="343"/>
      <c r="AM145" s="343"/>
      <c r="AN145" s="353"/>
      <c r="AO145" s="343"/>
      <c r="AP145" s="347"/>
      <c r="AQ145" s="372"/>
      <c r="AR145" s="320"/>
    </row>
    <row r="146" spans="1:44" s="354" customFormat="1" ht="36">
      <c r="A146" s="364" t="s">
        <v>317</v>
      </c>
      <c r="B146" s="365" t="s">
        <v>318</v>
      </c>
      <c r="C146" s="366"/>
      <c r="D146" s="367"/>
      <c r="E146" s="368"/>
      <c r="F146" s="368"/>
      <c r="G146" s="367"/>
      <c r="H146" s="367"/>
      <c r="I146" s="366"/>
      <c r="J146" s="366"/>
      <c r="K146" s="366"/>
      <c r="L146" s="367"/>
      <c r="M146" s="367"/>
      <c r="N146" s="368"/>
      <c r="O146" s="368"/>
      <c r="P146" s="367"/>
      <c r="Q146" s="367"/>
      <c r="R146" s="366"/>
      <c r="S146" s="368"/>
      <c r="T146" s="368"/>
      <c r="U146" s="368"/>
      <c r="V146" s="368"/>
      <c r="W146" s="367"/>
      <c r="X146" s="367"/>
      <c r="Y146" s="368"/>
      <c r="Z146" s="368"/>
      <c r="AA146" s="368"/>
      <c r="AB146" s="368"/>
      <c r="AC146" s="366"/>
      <c r="AD146" s="366"/>
      <c r="AE146" s="368"/>
      <c r="AF146" s="366"/>
      <c r="AG146" s="366"/>
      <c r="AH146" s="366"/>
      <c r="AI146" s="366"/>
      <c r="AJ146" s="368"/>
      <c r="AK146" s="368"/>
      <c r="AL146" s="368"/>
      <c r="AM146" s="368"/>
      <c r="AN146" s="366"/>
      <c r="AO146" s="368"/>
      <c r="AP146" s="367"/>
      <c r="AQ146" s="369"/>
      <c r="AR146" s="320"/>
    </row>
    <row r="147" spans="1:44" s="354" customFormat="1" ht="15">
      <c r="A147" s="370"/>
      <c r="B147" s="371"/>
      <c r="C147" s="353"/>
      <c r="D147" s="347"/>
      <c r="E147" s="343"/>
      <c r="F147" s="343"/>
      <c r="G147" s="347"/>
      <c r="H147" s="347"/>
      <c r="I147" s="353"/>
      <c r="J147" s="353"/>
      <c r="K147" s="353"/>
      <c r="L147" s="347"/>
      <c r="M147" s="347"/>
      <c r="N147" s="343"/>
      <c r="O147" s="343"/>
      <c r="P147" s="347"/>
      <c r="Q147" s="347"/>
      <c r="R147" s="353"/>
      <c r="S147" s="343"/>
      <c r="T147" s="343"/>
      <c r="U147" s="343"/>
      <c r="V147" s="343"/>
      <c r="W147" s="347"/>
      <c r="X147" s="347"/>
      <c r="Y147" s="343"/>
      <c r="Z147" s="343"/>
      <c r="AA147" s="343"/>
      <c r="AB147" s="343"/>
      <c r="AC147" s="353"/>
      <c r="AD147" s="353"/>
      <c r="AE147" s="343"/>
      <c r="AF147" s="353"/>
      <c r="AG147" s="353"/>
      <c r="AH147" s="353"/>
      <c r="AI147" s="353"/>
      <c r="AJ147" s="343"/>
      <c r="AK147" s="343"/>
      <c r="AL147" s="343"/>
      <c r="AM147" s="343"/>
      <c r="AN147" s="353"/>
      <c r="AO147" s="343"/>
      <c r="AP147" s="347"/>
      <c r="AQ147" s="372"/>
      <c r="AR147" s="320"/>
    </row>
    <row r="148" spans="1:44" s="354" customFormat="1" ht="15">
      <c r="A148" s="373" t="s">
        <v>319</v>
      </c>
      <c r="B148" s="374" t="s">
        <v>320</v>
      </c>
      <c r="C148" s="353">
        <f aca="true" t="shared" si="32" ref="C148:AQ148">C149+C151</f>
        <v>0</v>
      </c>
      <c r="D148" s="353">
        <f t="shared" si="32"/>
        <v>3.0599999999999996</v>
      </c>
      <c r="E148" s="353">
        <f t="shared" si="32"/>
        <v>2</v>
      </c>
      <c r="F148" s="353">
        <f t="shared" si="32"/>
        <v>9.33</v>
      </c>
      <c r="G148" s="353">
        <f t="shared" si="32"/>
        <v>0</v>
      </c>
      <c r="H148" s="353">
        <f t="shared" si="32"/>
        <v>1.23</v>
      </c>
      <c r="I148" s="353">
        <f t="shared" si="32"/>
        <v>2</v>
      </c>
      <c r="J148" s="353">
        <f t="shared" si="32"/>
        <v>13.62</v>
      </c>
      <c r="K148" s="353">
        <f t="shared" si="32"/>
        <v>0</v>
      </c>
      <c r="L148" s="353">
        <f t="shared" si="32"/>
        <v>0</v>
      </c>
      <c r="M148" s="353">
        <f t="shared" si="32"/>
        <v>0</v>
      </c>
      <c r="N148" s="353">
        <f t="shared" si="32"/>
        <v>0</v>
      </c>
      <c r="O148" s="353">
        <f t="shared" si="32"/>
        <v>0</v>
      </c>
      <c r="P148" s="353">
        <f t="shared" si="32"/>
        <v>0</v>
      </c>
      <c r="Q148" s="353">
        <f t="shared" si="32"/>
        <v>0</v>
      </c>
      <c r="R148" s="353">
        <f t="shared" si="32"/>
        <v>0</v>
      </c>
      <c r="S148" s="353">
        <f t="shared" si="32"/>
        <v>23.266101694915257</v>
      </c>
      <c r="T148" s="353">
        <f t="shared" si="32"/>
        <v>0</v>
      </c>
      <c r="U148" s="353">
        <f t="shared" si="32"/>
        <v>0</v>
      </c>
      <c r="V148" s="353">
        <f t="shared" si="32"/>
        <v>0</v>
      </c>
      <c r="W148" s="353">
        <f t="shared" si="32"/>
        <v>1.01</v>
      </c>
      <c r="X148" s="353">
        <f t="shared" si="32"/>
        <v>0</v>
      </c>
      <c r="Y148" s="353">
        <f t="shared" si="32"/>
        <v>2.05</v>
      </c>
      <c r="Z148" s="353">
        <f t="shared" si="32"/>
        <v>0</v>
      </c>
      <c r="AA148" s="353">
        <f t="shared" si="32"/>
        <v>0</v>
      </c>
      <c r="AB148" s="353">
        <f t="shared" si="32"/>
        <v>0</v>
      </c>
      <c r="AC148" s="353">
        <f t="shared" si="32"/>
        <v>3.0599999999999996</v>
      </c>
      <c r="AD148" s="353">
        <f t="shared" si="32"/>
        <v>2</v>
      </c>
      <c r="AE148" s="353">
        <f t="shared" si="32"/>
        <v>9.33</v>
      </c>
      <c r="AF148" s="353">
        <f t="shared" si="32"/>
        <v>0</v>
      </c>
      <c r="AG148" s="353">
        <f t="shared" si="32"/>
        <v>1.23</v>
      </c>
      <c r="AH148" s="353">
        <f t="shared" si="32"/>
        <v>2</v>
      </c>
      <c r="AI148" s="353">
        <f t="shared" si="32"/>
        <v>13.62</v>
      </c>
      <c r="AJ148" s="353">
        <f t="shared" si="32"/>
        <v>0</v>
      </c>
      <c r="AK148" s="353">
        <f t="shared" si="32"/>
        <v>2.48</v>
      </c>
      <c r="AL148" s="353">
        <f t="shared" si="32"/>
        <v>3.9</v>
      </c>
      <c r="AM148" s="353">
        <f t="shared" si="32"/>
        <v>0</v>
      </c>
      <c r="AN148" s="353">
        <f t="shared" si="32"/>
        <v>6.38</v>
      </c>
      <c r="AO148" s="353">
        <f t="shared" si="32"/>
        <v>19.413999999999998</v>
      </c>
      <c r="AP148" s="353">
        <f t="shared" si="32"/>
        <v>1.66</v>
      </c>
      <c r="AQ148" s="372">
        <f t="shared" si="32"/>
        <v>27.453999999999997</v>
      </c>
      <c r="AR148" s="320"/>
    </row>
    <row r="149" spans="1:44" s="354" customFormat="1" ht="24">
      <c r="A149" s="375" t="s">
        <v>321</v>
      </c>
      <c r="B149" s="376" t="s">
        <v>75</v>
      </c>
      <c r="C149" s="366">
        <f aca="true" t="shared" si="33" ref="C149:AQ149">SUM(C150)</f>
        <v>0</v>
      </c>
      <c r="D149" s="366">
        <f t="shared" si="33"/>
        <v>0.61</v>
      </c>
      <c r="E149" s="366">
        <f t="shared" si="33"/>
        <v>0</v>
      </c>
      <c r="F149" s="366">
        <f t="shared" si="33"/>
        <v>0</v>
      </c>
      <c r="G149" s="366">
        <f t="shared" si="33"/>
        <v>0</v>
      </c>
      <c r="H149" s="366">
        <f t="shared" si="33"/>
        <v>0</v>
      </c>
      <c r="I149" s="366">
        <f t="shared" si="33"/>
        <v>0</v>
      </c>
      <c r="J149" s="366">
        <f t="shared" si="33"/>
        <v>0.61</v>
      </c>
      <c r="K149" s="366">
        <f t="shared" si="33"/>
        <v>0</v>
      </c>
      <c r="L149" s="366">
        <f t="shared" si="33"/>
        <v>0</v>
      </c>
      <c r="M149" s="366">
        <f t="shared" si="33"/>
        <v>0</v>
      </c>
      <c r="N149" s="366">
        <f t="shared" si="33"/>
        <v>0</v>
      </c>
      <c r="O149" s="366">
        <f t="shared" si="33"/>
        <v>0</v>
      </c>
      <c r="P149" s="366">
        <f t="shared" si="33"/>
        <v>0</v>
      </c>
      <c r="Q149" s="366">
        <f t="shared" si="33"/>
        <v>0</v>
      </c>
      <c r="R149" s="366">
        <f t="shared" si="33"/>
        <v>0</v>
      </c>
      <c r="S149" s="366">
        <f t="shared" si="33"/>
        <v>1.4406779661016949</v>
      </c>
      <c r="T149" s="366">
        <f t="shared" si="33"/>
        <v>0</v>
      </c>
      <c r="U149" s="366">
        <f t="shared" si="33"/>
        <v>0</v>
      </c>
      <c r="V149" s="366">
        <f t="shared" si="33"/>
        <v>0</v>
      </c>
      <c r="W149" s="366">
        <f t="shared" si="33"/>
        <v>0.61</v>
      </c>
      <c r="X149" s="366">
        <f t="shared" si="33"/>
        <v>0</v>
      </c>
      <c r="Y149" s="366">
        <f t="shared" si="33"/>
        <v>0</v>
      </c>
      <c r="Z149" s="366">
        <f t="shared" si="33"/>
        <v>0</v>
      </c>
      <c r="AA149" s="366">
        <f t="shared" si="33"/>
        <v>0</v>
      </c>
      <c r="AB149" s="366">
        <f t="shared" si="33"/>
        <v>0</v>
      </c>
      <c r="AC149" s="366">
        <f t="shared" si="33"/>
        <v>0.61</v>
      </c>
      <c r="AD149" s="366">
        <f t="shared" si="33"/>
        <v>0</v>
      </c>
      <c r="AE149" s="366">
        <f t="shared" si="33"/>
        <v>0</v>
      </c>
      <c r="AF149" s="366">
        <f t="shared" si="33"/>
        <v>0</v>
      </c>
      <c r="AG149" s="366">
        <f t="shared" si="33"/>
        <v>0</v>
      </c>
      <c r="AH149" s="366">
        <f t="shared" si="33"/>
        <v>0</v>
      </c>
      <c r="AI149" s="366">
        <f t="shared" si="33"/>
        <v>0.61</v>
      </c>
      <c r="AJ149" s="366">
        <f t="shared" si="33"/>
        <v>0</v>
      </c>
      <c r="AK149" s="366">
        <f t="shared" si="33"/>
        <v>1.7</v>
      </c>
      <c r="AL149" s="366">
        <f t="shared" si="33"/>
        <v>0</v>
      </c>
      <c r="AM149" s="366">
        <f t="shared" si="33"/>
        <v>0</v>
      </c>
      <c r="AN149" s="366">
        <f t="shared" si="33"/>
        <v>1.7</v>
      </c>
      <c r="AO149" s="366">
        <f t="shared" si="33"/>
        <v>0</v>
      </c>
      <c r="AP149" s="366">
        <f t="shared" si="33"/>
        <v>0</v>
      </c>
      <c r="AQ149" s="369">
        <f t="shared" si="33"/>
        <v>1.7</v>
      </c>
      <c r="AR149" s="320"/>
    </row>
    <row r="150" spans="1:44" s="354" customFormat="1" ht="15">
      <c r="A150" s="377"/>
      <c r="B150" s="378" t="s">
        <v>323</v>
      </c>
      <c r="C150" s="353"/>
      <c r="D150" s="343">
        <v>0.61</v>
      </c>
      <c r="E150" s="343"/>
      <c r="F150" s="353"/>
      <c r="G150" s="343"/>
      <c r="H150" s="343"/>
      <c r="I150" s="345"/>
      <c r="J150" s="345">
        <f>D150+F150+H150</f>
        <v>0.61</v>
      </c>
      <c r="K150" s="343"/>
      <c r="L150" s="343"/>
      <c r="M150" s="343"/>
      <c r="N150" s="343"/>
      <c r="O150" s="343"/>
      <c r="P150" s="353"/>
      <c r="Q150" s="343"/>
      <c r="R150" s="343"/>
      <c r="S150" s="345">
        <f>AQ150/1.18</f>
        <v>1.4406779661016949</v>
      </c>
      <c r="T150" s="343"/>
      <c r="U150" s="343"/>
      <c r="V150" s="343"/>
      <c r="W150" s="343">
        <v>0.61</v>
      </c>
      <c r="X150" s="343"/>
      <c r="Y150" s="343"/>
      <c r="Z150" s="343"/>
      <c r="AA150" s="343"/>
      <c r="AB150" s="345"/>
      <c r="AC150" s="345">
        <f>U150+W150+Y150+AA150</f>
        <v>0.61</v>
      </c>
      <c r="AD150" s="353"/>
      <c r="AE150" s="343"/>
      <c r="AF150" s="343"/>
      <c r="AG150" s="343"/>
      <c r="AH150" s="345"/>
      <c r="AI150" s="345">
        <f>AC150+AE150+AG150</f>
        <v>0.61</v>
      </c>
      <c r="AJ150" s="343"/>
      <c r="AK150" s="343">
        <v>1.7</v>
      </c>
      <c r="AL150" s="343"/>
      <c r="AM150" s="343"/>
      <c r="AN150" s="347">
        <f>AM150+AL150+AK150+AJ150</f>
        <v>1.7</v>
      </c>
      <c r="AO150" s="343"/>
      <c r="AP150" s="347"/>
      <c r="AQ150" s="348">
        <f>AP150+AO150+AN150</f>
        <v>1.7</v>
      </c>
      <c r="AR150" s="320"/>
    </row>
    <row r="151" spans="1:44" s="354" customFormat="1" ht="15">
      <c r="A151" s="375" t="s">
        <v>325</v>
      </c>
      <c r="B151" s="376" t="s">
        <v>326</v>
      </c>
      <c r="C151" s="366">
        <f aca="true" t="shared" si="34" ref="C151:AQ151">C152+C166+C173+C175</f>
        <v>0</v>
      </c>
      <c r="D151" s="366">
        <f t="shared" si="34"/>
        <v>2.4499999999999997</v>
      </c>
      <c r="E151" s="366">
        <f t="shared" si="34"/>
        <v>2</v>
      </c>
      <c r="F151" s="366">
        <f t="shared" si="34"/>
        <v>9.33</v>
      </c>
      <c r="G151" s="366">
        <f t="shared" si="34"/>
        <v>0</v>
      </c>
      <c r="H151" s="366">
        <f t="shared" si="34"/>
        <v>1.23</v>
      </c>
      <c r="I151" s="366">
        <f t="shared" si="34"/>
        <v>2</v>
      </c>
      <c r="J151" s="366">
        <f t="shared" si="34"/>
        <v>13.01</v>
      </c>
      <c r="K151" s="366">
        <f t="shared" si="34"/>
        <v>0</v>
      </c>
      <c r="L151" s="366">
        <f t="shared" si="34"/>
        <v>0</v>
      </c>
      <c r="M151" s="366">
        <f t="shared" si="34"/>
        <v>0</v>
      </c>
      <c r="N151" s="366">
        <f t="shared" si="34"/>
        <v>0</v>
      </c>
      <c r="O151" s="366">
        <f t="shared" si="34"/>
        <v>0</v>
      </c>
      <c r="P151" s="366">
        <f t="shared" si="34"/>
        <v>0</v>
      </c>
      <c r="Q151" s="366">
        <f t="shared" si="34"/>
        <v>0</v>
      </c>
      <c r="R151" s="366">
        <f t="shared" si="34"/>
        <v>0</v>
      </c>
      <c r="S151" s="366">
        <f t="shared" si="34"/>
        <v>21.82542372881356</v>
      </c>
      <c r="T151" s="366">
        <f t="shared" si="34"/>
        <v>0</v>
      </c>
      <c r="U151" s="366">
        <f t="shared" si="34"/>
        <v>0</v>
      </c>
      <c r="V151" s="366">
        <f t="shared" si="34"/>
        <v>0</v>
      </c>
      <c r="W151" s="366">
        <f t="shared" si="34"/>
        <v>0.39999999999999997</v>
      </c>
      <c r="X151" s="366">
        <f t="shared" si="34"/>
        <v>0</v>
      </c>
      <c r="Y151" s="366">
        <f t="shared" si="34"/>
        <v>2.05</v>
      </c>
      <c r="Z151" s="366">
        <f t="shared" si="34"/>
        <v>0</v>
      </c>
      <c r="AA151" s="366">
        <f t="shared" si="34"/>
        <v>0</v>
      </c>
      <c r="AB151" s="366">
        <f t="shared" si="34"/>
        <v>0</v>
      </c>
      <c r="AC151" s="366">
        <f t="shared" si="34"/>
        <v>2.4499999999999997</v>
      </c>
      <c r="AD151" s="366">
        <f t="shared" si="34"/>
        <v>2</v>
      </c>
      <c r="AE151" s="366">
        <f t="shared" si="34"/>
        <v>9.33</v>
      </c>
      <c r="AF151" s="366">
        <f t="shared" si="34"/>
        <v>0</v>
      </c>
      <c r="AG151" s="366">
        <f t="shared" si="34"/>
        <v>1.23</v>
      </c>
      <c r="AH151" s="366">
        <f t="shared" si="34"/>
        <v>2</v>
      </c>
      <c r="AI151" s="366">
        <f t="shared" si="34"/>
        <v>13.01</v>
      </c>
      <c r="AJ151" s="366">
        <f t="shared" si="34"/>
        <v>0</v>
      </c>
      <c r="AK151" s="366">
        <f t="shared" si="34"/>
        <v>0.78</v>
      </c>
      <c r="AL151" s="366">
        <f t="shared" si="34"/>
        <v>3.9</v>
      </c>
      <c r="AM151" s="366">
        <f t="shared" si="34"/>
        <v>0</v>
      </c>
      <c r="AN151" s="366">
        <f t="shared" si="34"/>
        <v>4.68</v>
      </c>
      <c r="AO151" s="366">
        <f t="shared" si="34"/>
        <v>19.413999999999998</v>
      </c>
      <c r="AP151" s="366">
        <f t="shared" si="34"/>
        <v>1.66</v>
      </c>
      <c r="AQ151" s="369">
        <f t="shared" si="34"/>
        <v>25.753999999999998</v>
      </c>
      <c r="AR151" s="320"/>
    </row>
    <row r="152" spans="1:44" s="354" customFormat="1" ht="15">
      <c r="A152" s="375" t="s">
        <v>327</v>
      </c>
      <c r="B152" s="376" t="s">
        <v>328</v>
      </c>
      <c r="C152" s="366">
        <f aca="true" t="shared" si="35" ref="C152:AQ152">SUM(C153:C165)</f>
        <v>0</v>
      </c>
      <c r="D152" s="366">
        <f t="shared" si="35"/>
        <v>0.39999999999999997</v>
      </c>
      <c r="E152" s="366">
        <f t="shared" si="35"/>
        <v>0</v>
      </c>
      <c r="F152" s="366">
        <f t="shared" si="35"/>
        <v>4.4</v>
      </c>
      <c r="G152" s="366">
        <f t="shared" si="35"/>
        <v>0</v>
      </c>
      <c r="H152" s="366">
        <f t="shared" si="35"/>
        <v>0</v>
      </c>
      <c r="I152" s="366">
        <f t="shared" si="35"/>
        <v>0</v>
      </c>
      <c r="J152" s="366">
        <f t="shared" si="35"/>
        <v>4.800000000000001</v>
      </c>
      <c r="K152" s="366">
        <f t="shared" si="35"/>
        <v>0</v>
      </c>
      <c r="L152" s="366">
        <f t="shared" si="35"/>
        <v>0</v>
      </c>
      <c r="M152" s="366">
        <f t="shared" si="35"/>
        <v>0</v>
      </c>
      <c r="N152" s="366">
        <f t="shared" si="35"/>
        <v>0</v>
      </c>
      <c r="O152" s="366">
        <f t="shared" si="35"/>
        <v>0</v>
      </c>
      <c r="P152" s="366">
        <f t="shared" si="35"/>
        <v>0</v>
      </c>
      <c r="Q152" s="366">
        <f t="shared" si="35"/>
        <v>0</v>
      </c>
      <c r="R152" s="366">
        <f t="shared" si="35"/>
        <v>0</v>
      </c>
      <c r="S152" s="366">
        <f t="shared" si="35"/>
        <v>4.720338983050848</v>
      </c>
      <c r="T152" s="366">
        <f t="shared" si="35"/>
        <v>0</v>
      </c>
      <c r="U152" s="366">
        <f t="shared" si="35"/>
        <v>0</v>
      </c>
      <c r="V152" s="366">
        <f t="shared" si="35"/>
        <v>0</v>
      </c>
      <c r="W152" s="366">
        <f t="shared" si="35"/>
        <v>0.39999999999999997</v>
      </c>
      <c r="X152" s="366">
        <f t="shared" si="35"/>
        <v>0</v>
      </c>
      <c r="Y152" s="366">
        <f t="shared" si="35"/>
        <v>0</v>
      </c>
      <c r="Z152" s="366">
        <f t="shared" si="35"/>
        <v>0</v>
      </c>
      <c r="AA152" s="366">
        <f t="shared" si="35"/>
        <v>0</v>
      </c>
      <c r="AB152" s="366">
        <f t="shared" si="35"/>
        <v>0</v>
      </c>
      <c r="AC152" s="366">
        <f t="shared" si="35"/>
        <v>0.39999999999999997</v>
      </c>
      <c r="AD152" s="366">
        <f t="shared" si="35"/>
        <v>0</v>
      </c>
      <c r="AE152" s="366">
        <f t="shared" si="35"/>
        <v>4.4</v>
      </c>
      <c r="AF152" s="366">
        <f t="shared" si="35"/>
        <v>0</v>
      </c>
      <c r="AG152" s="366">
        <f t="shared" si="35"/>
        <v>0</v>
      </c>
      <c r="AH152" s="366">
        <f t="shared" si="35"/>
        <v>0</v>
      </c>
      <c r="AI152" s="366">
        <f t="shared" si="35"/>
        <v>4.800000000000001</v>
      </c>
      <c r="AJ152" s="366">
        <f t="shared" si="35"/>
        <v>0</v>
      </c>
      <c r="AK152" s="366">
        <f t="shared" si="35"/>
        <v>0.78</v>
      </c>
      <c r="AL152" s="366">
        <f t="shared" si="35"/>
        <v>0</v>
      </c>
      <c r="AM152" s="366">
        <f t="shared" si="35"/>
        <v>0</v>
      </c>
      <c r="AN152" s="366">
        <f t="shared" si="35"/>
        <v>0.78</v>
      </c>
      <c r="AO152" s="366">
        <f t="shared" si="35"/>
        <v>4.79</v>
      </c>
      <c r="AP152" s="366">
        <f t="shared" si="35"/>
        <v>0</v>
      </c>
      <c r="AQ152" s="369">
        <f t="shared" si="35"/>
        <v>5.569999999999999</v>
      </c>
      <c r="AR152" s="320"/>
    </row>
    <row r="153" spans="1:44" s="354" customFormat="1" ht="24">
      <c r="A153" s="377" t="s">
        <v>329</v>
      </c>
      <c r="B153" s="378" t="s">
        <v>330</v>
      </c>
      <c r="C153" s="353"/>
      <c r="D153" s="379">
        <v>0.09</v>
      </c>
      <c r="E153" s="343"/>
      <c r="F153" s="343"/>
      <c r="G153" s="343"/>
      <c r="H153" s="347"/>
      <c r="I153" s="347"/>
      <c r="J153" s="353">
        <f aca="true" t="shared" si="36" ref="J153:J165">C153+D153+E153+F153+G153+H153</f>
        <v>0.09</v>
      </c>
      <c r="K153" s="353"/>
      <c r="L153" s="347"/>
      <c r="M153" s="347"/>
      <c r="N153" s="343"/>
      <c r="O153" s="343"/>
      <c r="P153" s="347"/>
      <c r="Q153" s="347"/>
      <c r="R153" s="353"/>
      <c r="S153" s="345">
        <f aca="true" t="shared" si="37" ref="S153:S165">AQ153/1.18</f>
        <v>0.1610169491525424</v>
      </c>
      <c r="T153" s="343"/>
      <c r="U153" s="379"/>
      <c r="V153" s="343"/>
      <c r="W153" s="379">
        <v>0.09</v>
      </c>
      <c r="X153" s="347"/>
      <c r="Y153" s="343"/>
      <c r="Z153" s="343"/>
      <c r="AA153" s="343"/>
      <c r="AB153" s="345"/>
      <c r="AC153" s="345">
        <f aca="true" t="shared" si="38" ref="AC153:AC165">U153+W153+Y153+AA153</f>
        <v>0.09</v>
      </c>
      <c r="AD153" s="353"/>
      <c r="AE153" s="343"/>
      <c r="AF153" s="343"/>
      <c r="AG153" s="353"/>
      <c r="AH153" s="353"/>
      <c r="AI153" s="353">
        <f aca="true" t="shared" si="39" ref="AI153:AI160">AC153+AE153+AG153</f>
        <v>0.09</v>
      </c>
      <c r="AJ153" s="379"/>
      <c r="AK153" s="353">
        <v>0.19</v>
      </c>
      <c r="AL153" s="343"/>
      <c r="AM153" s="343"/>
      <c r="AN153" s="353">
        <f>AJ153+AK153+AL153+AM153</f>
        <v>0.19</v>
      </c>
      <c r="AO153" s="343"/>
      <c r="AP153" s="347"/>
      <c r="AQ153" s="348">
        <f aca="true" t="shared" si="40" ref="AQ153:AQ165">AP153+AO153+AN153</f>
        <v>0.19</v>
      </c>
      <c r="AR153" s="380"/>
    </row>
    <row r="154" spans="1:44" s="354" customFormat="1" ht="24">
      <c r="A154" s="377" t="s">
        <v>331</v>
      </c>
      <c r="B154" s="378" t="s">
        <v>332</v>
      </c>
      <c r="C154" s="353"/>
      <c r="D154" s="379">
        <v>0.26</v>
      </c>
      <c r="E154" s="343"/>
      <c r="F154" s="343"/>
      <c r="G154" s="343"/>
      <c r="H154" s="347"/>
      <c r="I154" s="347"/>
      <c r="J154" s="353">
        <f t="shared" si="36"/>
        <v>0.26</v>
      </c>
      <c r="K154" s="353"/>
      <c r="L154" s="347"/>
      <c r="M154" s="347"/>
      <c r="N154" s="343"/>
      <c r="O154" s="343"/>
      <c r="P154" s="347"/>
      <c r="Q154" s="347"/>
      <c r="R154" s="353"/>
      <c r="S154" s="345">
        <f t="shared" si="37"/>
        <v>0.33898305084745767</v>
      </c>
      <c r="T154" s="343"/>
      <c r="U154" s="379"/>
      <c r="V154" s="343"/>
      <c r="W154" s="379">
        <v>0.26</v>
      </c>
      <c r="X154" s="347"/>
      <c r="Y154" s="343"/>
      <c r="Z154" s="343"/>
      <c r="AA154" s="343"/>
      <c r="AB154" s="345"/>
      <c r="AC154" s="345">
        <f t="shared" si="38"/>
        <v>0.26</v>
      </c>
      <c r="AD154" s="353"/>
      <c r="AE154" s="343"/>
      <c r="AF154" s="343"/>
      <c r="AG154" s="353"/>
      <c r="AH154" s="353"/>
      <c r="AI154" s="353">
        <f t="shared" si="39"/>
        <v>0.26</v>
      </c>
      <c r="AJ154" s="379"/>
      <c r="AK154" s="353">
        <v>0.4</v>
      </c>
      <c r="AL154" s="343"/>
      <c r="AM154" s="343"/>
      <c r="AN154" s="353">
        <f>AJ154+AK154+AL154+AM154</f>
        <v>0.4</v>
      </c>
      <c r="AO154" s="343"/>
      <c r="AP154" s="347"/>
      <c r="AQ154" s="348">
        <f t="shared" si="40"/>
        <v>0.4</v>
      </c>
      <c r="AR154" s="380"/>
    </row>
    <row r="155" spans="1:44" s="354" customFormat="1" ht="24">
      <c r="A155" s="377" t="s">
        <v>333</v>
      </c>
      <c r="B155" s="378" t="s">
        <v>334</v>
      </c>
      <c r="C155" s="353"/>
      <c r="D155" s="379">
        <v>0.05</v>
      </c>
      <c r="E155" s="343"/>
      <c r="F155" s="343"/>
      <c r="G155" s="343"/>
      <c r="H155" s="347"/>
      <c r="I155" s="347"/>
      <c r="J155" s="353">
        <f t="shared" si="36"/>
        <v>0.05</v>
      </c>
      <c r="K155" s="353"/>
      <c r="L155" s="347"/>
      <c r="M155" s="347"/>
      <c r="N155" s="343"/>
      <c r="O155" s="343"/>
      <c r="P155" s="347"/>
      <c r="Q155" s="347"/>
      <c r="R155" s="353"/>
      <c r="S155" s="345">
        <f t="shared" si="37"/>
        <v>0.1610169491525424</v>
      </c>
      <c r="T155" s="343"/>
      <c r="U155" s="379"/>
      <c r="V155" s="343"/>
      <c r="W155" s="379">
        <v>0.05</v>
      </c>
      <c r="X155" s="347"/>
      <c r="Y155" s="343"/>
      <c r="Z155" s="343"/>
      <c r="AA155" s="343"/>
      <c r="AB155" s="345"/>
      <c r="AC155" s="345">
        <f t="shared" si="38"/>
        <v>0.05</v>
      </c>
      <c r="AD155" s="353"/>
      <c r="AE155" s="343"/>
      <c r="AF155" s="343"/>
      <c r="AG155" s="353"/>
      <c r="AH155" s="353"/>
      <c r="AI155" s="353">
        <f t="shared" si="39"/>
        <v>0.05</v>
      </c>
      <c r="AJ155" s="379"/>
      <c r="AK155" s="353">
        <v>0.19</v>
      </c>
      <c r="AL155" s="343"/>
      <c r="AM155" s="343"/>
      <c r="AN155" s="353">
        <f>AJ155+AK155+AL155+AM155</f>
        <v>0.19</v>
      </c>
      <c r="AO155" s="343"/>
      <c r="AP155" s="347"/>
      <c r="AQ155" s="348">
        <f t="shared" si="40"/>
        <v>0.19</v>
      </c>
      <c r="AR155" s="380"/>
    </row>
    <row r="156" spans="1:44" s="354" customFormat="1" ht="15">
      <c r="A156" s="377" t="s">
        <v>335</v>
      </c>
      <c r="B156" s="359" t="s">
        <v>336</v>
      </c>
      <c r="C156" s="353"/>
      <c r="D156" s="381"/>
      <c r="E156" s="343"/>
      <c r="F156" s="381">
        <v>0.7</v>
      </c>
      <c r="G156" s="343"/>
      <c r="H156" s="347"/>
      <c r="I156" s="347"/>
      <c r="J156" s="353">
        <f t="shared" si="36"/>
        <v>0.7</v>
      </c>
      <c r="K156" s="353"/>
      <c r="L156" s="347"/>
      <c r="M156" s="347"/>
      <c r="N156" s="343"/>
      <c r="O156" s="343"/>
      <c r="P156" s="347"/>
      <c r="Q156" s="347"/>
      <c r="R156" s="353"/>
      <c r="S156" s="345">
        <f t="shared" si="37"/>
        <v>0.9745762711864406</v>
      </c>
      <c r="T156" s="343"/>
      <c r="U156" s="379"/>
      <c r="V156" s="343"/>
      <c r="W156" s="347"/>
      <c r="X156" s="347"/>
      <c r="Y156" s="343"/>
      <c r="Z156" s="343"/>
      <c r="AA156" s="343"/>
      <c r="AB156" s="345"/>
      <c r="AC156" s="345">
        <f t="shared" si="38"/>
        <v>0</v>
      </c>
      <c r="AD156" s="353"/>
      <c r="AE156" s="381">
        <v>0.7</v>
      </c>
      <c r="AF156" s="343"/>
      <c r="AG156" s="353"/>
      <c r="AH156" s="353"/>
      <c r="AI156" s="353">
        <f t="shared" si="39"/>
        <v>0.7</v>
      </c>
      <c r="AJ156" s="379"/>
      <c r="AK156" s="353"/>
      <c r="AL156" s="343"/>
      <c r="AM156" s="343"/>
      <c r="AN156" s="353"/>
      <c r="AO156" s="343">
        <v>1.15</v>
      </c>
      <c r="AP156" s="347"/>
      <c r="AQ156" s="348">
        <f t="shared" si="40"/>
        <v>1.15</v>
      </c>
      <c r="AR156" s="380"/>
    </row>
    <row r="157" spans="1:44" s="354" customFormat="1" ht="24">
      <c r="A157" s="382" t="s">
        <v>337</v>
      </c>
      <c r="B157" s="358" t="s">
        <v>338</v>
      </c>
      <c r="C157" s="353"/>
      <c r="D157" s="381"/>
      <c r="E157" s="343"/>
      <c r="F157" s="381">
        <v>0.33</v>
      </c>
      <c r="G157" s="343"/>
      <c r="H157" s="347"/>
      <c r="I157" s="347"/>
      <c r="J157" s="353">
        <f t="shared" si="36"/>
        <v>0.33</v>
      </c>
      <c r="K157" s="353"/>
      <c r="L157" s="347"/>
      <c r="M157" s="347"/>
      <c r="N157" s="343"/>
      <c r="O157" s="343"/>
      <c r="P157" s="347"/>
      <c r="Q157" s="347"/>
      <c r="R157" s="353"/>
      <c r="S157" s="345">
        <f t="shared" si="37"/>
        <v>0.24576271186440676</v>
      </c>
      <c r="T157" s="343"/>
      <c r="U157" s="379"/>
      <c r="V157" s="343"/>
      <c r="W157" s="347"/>
      <c r="X157" s="347"/>
      <c r="Y157" s="343"/>
      <c r="Z157" s="343"/>
      <c r="AA157" s="343"/>
      <c r="AB157" s="345"/>
      <c r="AC157" s="345">
        <f t="shared" si="38"/>
        <v>0</v>
      </c>
      <c r="AD157" s="353"/>
      <c r="AE157" s="381">
        <v>0.33</v>
      </c>
      <c r="AF157" s="343"/>
      <c r="AG157" s="353"/>
      <c r="AH157" s="353"/>
      <c r="AI157" s="353">
        <f t="shared" si="39"/>
        <v>0.33</v>
      </c>
      <c r="AJ157" s="379"/>
      <c r="AK157" s="353"/>
      <c r="AL157" s="343"/>
      <c r="AM157" s="343"/>
      <c r="AN157" s="353"/>
      <c r="AO157" s="343">
        <v>0.29</v>
      </c>
      <c r="AP157" s="347"/>
      <c r="AQ157" s="348">
        <f t="shared" si="40"/>
        <v>0.29</v>
      </c>
      <c r="AR157" s="380"/>
    </row>
    <row r="158" spans="1:44" s="354" customFormat="1" ht="15">
      <c r="A158" s="382" t="s">
        <v>339</v>
      </c>
      <c r="B158" s="383" t="s">
        <v>340</v>
      </c>
      <c r="C158" s="353"/>
      <c r="D158" s="381"/>
      <c r="E158" s="343"/>
      <c r="F158" s="381">
        <v>0.49</v>
      </c>
      <c r="G158" s="343"/>
      <c r="H158" s="347"/>
      <c r="I158" s="347"/>
      <c r="J158" s="353">
        <f t="shared" si="36"/>
        <v>0.49</v>
      </c>
      <c r="K158" s="353"/>
      <c r="L158" s="347"/>
      <c r="M158" s="347"/>
      <c r="N158" s="343"/>
      <c r="O158" s="343"/>
      <c r="P158" s="347"/>
      <c r="Q158" s="347"/>
      <c r="R158" s="353"/>
      <c r="S158" s="345">
        <f t="shared" si="37"/>
        <v>0.4491525423728814</v>
      </c>
      <c r="T158" s="343"/>
      <c r="U158" s="379"/>
      <c r="V158" s="343"/>
      <c r="W158" s="347"/>
      <c r="X158" s="347"/>
      <c r="Y158" s="343"/>
      <c r="Z158" s="343"/>
      <c r="AA158" s="343"/>
      <c r="AB158" s="345"/>
      <c r="AC158" s="345">
        <f t="shared" si="38"/>
        <v>0</v>
      </c>
      <c r="AD158" s="353"/>
      <c r="AE158" s="381">
        <v>0.49</v>
      </c>
      <c r="AF158" s="343"/>
      <c r="AG158" s="353"/>
      <c r="AH158" s="353"/>
      <c r="AI158" s="353">
        <f t="shared" si="39"/>
        <v>0.49</v>
      </c>
      <c r="AJ158" s="379"/>
      <c r="AK158" s="353"/>
      <c r="AL158" s="343"/>
      <c r="AM158" s="343"/>
      <c r="AN158" s="353"/>
      <c r="AO158" s="343">
        <v>0.53</v>
      </c>
      <c r="AP158" s="347"/>
      <c r="AQ158" s="348">
        <f t="shared" si="40"/>
        <v>0.53</v>
      </c>
      <c r="AR158" s="380"/>
    </row>
    <row r="159" spans="1:44" s="354" customFormat="1" ht="35.25" customHeight="1">
      <c r="A159" s="382" t="s">
        <v>341</v>
      </c>
      <c r="B159" s="383" t="s">
        <v>342</v>
      </c>
      <c r="C159" s="353"/>
      <c r="D159" s="381"/>
      <c r="E159" s="343"/>
      <c r="F159" s="381">
        <v>0.24</v>
      </c>
      <c r="G159" s="343"/>
      <c r="H159" s="347"/>
      <c r="I159" s="347"/>
      <c r="J159" s="353">
        <f t="shared" si="36"/>
        <v>0.24</v>
      </c>
      <c r="K159" s="353"/>
      <c r="L159" s="347"/>
      <c r="M159" s="347"/>
      <c r="N159" s="343"/>
      <c r="O159" s="343"/>
      <c r="P159" s="347"/>
      <c r="Q159" s="347"/>
      <c r="R159" s="353"/>
      <c r="S159" s="345">
        <f t="shared" si="37"/>
        <v>0.7203389830508474</v>
      </c>
      <c r="T159" s="343"/>
      <c r="U159" s="379"/>
      <c r="V159" s="343"/>
      <c r="W159" s="347"/>
      <c r="X159" s="347"/>
      <c r="Y159" s="343"/>
      <c r="Z159" s="343"/>
      <c r="AA159" s="343"/>
      <c r="AB159" s="345"/>
      <c r="AC159" s="345">
        <f t="shared" si="38"/>
        <v>0</v>
      </c>
      <c r="AD159" s="353"/>
      <c r="AE159" s="381">
        <v>0.24</v>
      </c>
      <c r="AF159" s="343"/>
      <c r="AG159" s="353"/>
      <c r="AH159" s="353"/>
      <c r="AI159" s="353">
        <f t="shared" si="39"/>
        <v>0.24</v>
      </c>
      <c r="AJ159" s="379"/>
      <c r="AK159" s="353"/>
      <c r="AL159" s="343"/>
      <c r="AM159" s="343"/>
      <c r="AN159" s="353"/>
      <c r="AO159" s="343">
        <v>0.85</v>
      </c>
      <c r="AP159" s="347"/>
      <c r="AQ159" s="348">
        <f t="shared" si="40"/>
        <v>0.85</v>
      </c>
      <c r="AR159" s="380"/>
    </row>
    <row r="160" spans="1:44" s="354" customFormat="1" ht="34.5" customHeight="1">
      <c r="A160" s="382" t="s">
        <v>343</v>
      </c>
      <c r="B160" s="359" t="s">
        <v>344</v>
      </c>
      <c r="C160" s="353"/>
      <c r="D160" s="381"/>
      <c r="E160" s="343"/>
      <c r="F160" s="381">
        <v>0.34</v>
      </c>
      <c r="G160" s="343"/>
      <c r="H160" s="347"/>
      <c r="I160" s="347"/>
      <c r="J160" s="353">
        <f t="shared" si="36"/>
        <v>0.34</v>
      </c>
      <c r="K160" s="353"/>
      <c r="L160" s="347"/>
      <c r="M160" s="347"/>
      <c r="N160" s="343"/>
      <c r="O160" s="343"/>
      <c r="P160" s="347"/>
      <c r="Q160" s="347"/>
      <c r="R160" s="353"/>
      <c r="S160" s="345">
        <f t="shared" si="37"/>
        <v>0.2033898305084746</v>
      </c>
      <c r="T160" s="343"/>
      <c r="U160" s="379"/>
      <c r="V160" s="343"/>
      <c r="W160" s="347"/>
      <c r="X160" s="347"/>
      <c r="Y160" s="343"/>
      <c r="Z160" s="343"/>
      <c r="AA160" s="343"/>
      <c r="AB160" s="345"/>
      <c r="AC160" s="345">
        <f t="shared" si="38"/>
        <v>0</v>
      </c>
      <c r="AD160" s="353"/>
      <c r="AE160" s="381">
        <v>0.34</v>
      </c>
      <c r="AF160" s="343"/>
      <c r="AG160" s="353"/>
      <c r="AH160" s="353"/>
      <c r="AI160" s="353">
        <f t="shared" si="39"/>
        <v>0.34</v>
      </c>
      <c r="AJ160" s="379"/>
      <c r="AK160" s="353"/>
      <c r="AL160" s="343"/>
      <c r="AM160" s="343"/>
      <c r="AN160" s="353"/>
      <c r="AO160" s="343">
        <v>0.24</v>
      </c>
      <c r="AP160" s="347"/>
      <c r="AQ160" s="348">
        <f t="shared" si="40"/>
        <v>0.24</v>
      </c>
      <c r="AR160" s="380"/>
    </row>
    <row r="161" spans="1:44" s="354" customFormat="1" ht="24">
      <c r="A161" s="382" t="s">
        <v>345</v>
      </c>
      <c r="B161" s="356" t="s">
        <v>346</v>
      </c>
      <c r="C161" s="353"/>
      <c r="D161" s="384"/>
      <c r="E161" s="347"/>
      <c r="F161" s="384">
        <v>0.46</v>
      </c>
      <c r="G161" s="347"/>
      <c r="H161" s="343"/>
      <c r="I161" s="343"/>
      <c r="J161" s="353">
        <f t="shared" si="36"/>
        <v>0.46</v>
      </c>
      <c r="K161" s="353"/>
      <c r="L161" s="343"/>
      <c r="M161" s="343"/>
      <c r="N161" s="343"/>
      <c r="O161" s="343"/>
      <c r="P161" s="343"/>
      <c r="Q161" s="343"/>
      <c r="R161" s="343"/>
      <c r="S161" s="345">
        <f t="shared" si="37"/>
        <v>0.2966101694915254</v>
      </c>
      <c r="T161" s="343"/>
      <c r="U161" s="343"/>
      <c r="V161" s="343"/>
      <c r="W161" s="343"/>
      <c r="X161" s="343"/>
      <c r="Y161" s="343"/>
      <c r="Z161" s="343"/>
      <c r="AA161" s="343"/>
      <c r="AB161" s="345"/>
      <c r="AC161" s="345">
        <f t="shared" si="38"/>
        <v>0</v>
      </c>
      <c r="AD161" s="353"/>
      <c r="AE161" s="384">
        <v>0.46</v>
      </c>
      <c r="AF161" s="343"/>
      <c r="AG161" s="343"/>
      <c r="AH161" s="343"/>
      <c r="AI161" s="353">
        <f>AE161</f>
        <v>0.46</v>
      </c>
      <c r="AJ161" s="343"/>
      <c r="AK161" s="343"/>
      <c r="AL161" s="343"/>
      <c r="AM161" s="343"/>
      <c r="AN161" s="353"/>
      <c r="AO161" s="347">
        <v>0.35</v>
      </c>
      <c r="AP161" s="343"/>
      <c r="AQ161" s="348">
        <f t="shared" si="40"/>
        <v>0.35</v>
      </c>
      <c r="AR161" s="380"/>
    </row>
    <row r="162" spans="1:44" s="354" customFormat="1" ht="35.25" customHeight="1">
      <c r="A162" s="382" t="s">
        <v>347</v>
      </c>
      <c r="B162" s="357" t="s">
        <v>348</v>
      </c>
      <c r="C162" s="343"/>
      <c r="D162" s="385"/>
      <c r="E162" s="347"/>
      <c r="F162" s="385">
        <v>0.18</v>
      </c>
      <c r="G162" s="347"/>
      <c r="H162" s="343"/>
      <c r="I162" s="343"/>
      <c r="J162" s="353">
        <f t="shared" si="36"/>
        <v>0.18</v>
      </c>
      <c r="K162" s="353"/>
      <c r="L162" s="343"/>
      <c r="M162" s="343"/>
      <c r="N162" s="343"/>
      <c r="O162" s="343"/>
      <c r="P162" s="343"/>
      <c r="Q162" s="343"/>
      <c r="R162" s="343"/>
      <c r="S162" s="345">
        <f t="shared" si="37"/>
        <v>0.1864406779661017</v>
      </c>
      <c r="T162" s="343"/>
      <c r="U162" s="343"/>
      <c r="V162" s="343"/>
      <c r="W162" s="343"/>
      <c r="X162" s="343"/>
      <c r="Y162" s="343"/>
      <c r="Z162" s="343"/>
      <c r="AA162" s="343"/>
      <c r="AB162" s="345"/>
      <c r="AC162" s="345">
        <f t="shared" si="38"/>
        <v>0</v>
      </c>
      <c r="AD162" s="353"/>
      <c r="AE162" s="385">
        <v>0.18</v>
      </c>
      <c r="AF162" s="343"/>
      <c r="AG162" s="343"/>
      <c r="AH162" s="343"/>
      <c r="AI162" s="353">
        <f>AE162</f>
        <v>0.18</v>
      </c>
      <c r="AJ162" s="343"/>
      <c r="AK162" s="343"/>
      <c r="AL162" s="343"/>
      <c r="AM162" s="343"/>
      <c r="AN162" s="353"/>
      <c r="AO162" s="353">
        <v>0.22</v>
      </c>
      <c r="AP162" s="343"/>
      <c r="AQ162" s="348">
        <f t="shared" si="40"/>
        <v>0.22</v>
      </c>
      <c r="AR162" s="380"/>
    </row>
    <row r="163" spans="1:44" s="354" customFormat="1" ht="35.25" customHeight="1">
      <c r="A163" s="382" t="s">
        <v>349</v>
      </c>
      <c r="B163" s="356" t="s">
        <v>350</v>
      </c>
      <c r="C163" s="353"/>
      <c r="D163" s="384"/>
      <c r="E163" s="347"/>
      <c r="F163" s="384">
        <v>0.16</v>
      </c>
      <c r="G163" s="347"/>
      <c r="H163" s="343"/>
      <c r="I163" s="343"/>
      <c r="J163" s="353">
        <f t="shared" si="36"/>
        <v>0.16</v>
      </c>
      <c r="K163" s="353"/>
      <c r="L163" s="343"/>
      <c r="M163" s="343"/>
      <c r="N163" s="343"/>
      <c r="O163" s="343"/>
      <c r="P163" s="343"/>
      <c r="Q163" s="343"/>
      <c r="R163" s="343"/>
      <c r="S163" s="345">
        <f t="shared" si="37"/>
        <v>0.1864406779661017</v>
      </c>
      <c r="T163" s="343"/>
      <c r="U163" s="343"/>
      <c r="V163" s="343"/>
      <c r="W163" s="343"/>
      <c r="X163" s="343"/>
      <c r="Y163" s="343"/>
      <c r="Z163" s="343"/>
      <c r="AA163" s="343"/>
      <c r="AB163" s="345"/>
      <c r="AC163" s="345">
        <f t="shared" si="38"/>
        <v>0</v>
      </c>
      <c r="AD163" s="343"/>
      <c r="AE163" s="384">
        <v>0.16</v>
      </c>
      <c r="AF163" s="343"/>
      <c r="AG163" s="343"/>
      <c r="AH163" s="343"/>
      <c r="AI163" s="353">
        <f>AE163</f>
        <v>0.16</v>
      </c>
      <c r="AJ163" s="343"/>
      <c r="AK163" s="343"/>
      <c r="AL163" s="343"/>
      <c r="AM163" s="343"/>
      <c r="AN163" s="343"/>
      <c r="AO163" s="353">
        <v>0.22</v>
      </c>
      <c r="AP163" s="343"/>
      <c r="AQ163" s="348">
        <f t="shared" si="40"/>
        <v>0.22</v>
      </c>
      <c r="AR163" s="380"/>
    </row>
    <row r="164" spans="1:44" s="354" customFormat="1" ht="35.25" customHeight="1">
      <c r="A164" s="382" t="s">
        <v>351</v>
      </c>
      <c r="B164" s="357" t="s">
        <v>352</v>
      </c>
      <c r="C164" s="343"/>
      <c r="D164" s="384"/>
      <c r="E164" s="347"/>
      <c r="F164" s="384">
        <v>1</v>
      </c>
      <c r="G164" s="347"/>
      <c r="H164" s="353"/>
      <c r="I164" s="353"/>
      <c r="J164" s="353">
        <f t="shared" si="36"/>
        <v>1</v>
      </c>
      <c r="K164" s="353"/>
      <c r="L164" s="353"/>
      <c r="M164" s="353"/>
      <c r="N164" s="353"/>
      <c r="O164" s="353"/>
      <c r="P164" s="353"/>
      <c r="Q164" s="353"/>
      <c r="R164" s="353"/>
      <c r="S164" s="345">
        <f t="shared" si="37"/>
        <v>0.5593220338983051</v>
      </c>
      <c r="T164" s="353"/>
      <c r="U164" s="353"/>
      <c r="V164" s="353"/>
      <c r="W164" s="353"/>
      <c r="X164" s="353"/>
      <c r="Y164" s="347"/>
      <c r="Z164" s="347"/>
      <c r="AA164" s="353"/>
      <c r="AB164" s="345"/>
      <c r="AC164" s="345">
        <f t="shared" si="38"/>
        <v>0</v>
      </c>
      <c r="AD164" s="353"/>
      <c r="AE164" s="386">
        <v>1</v>
      </c>
      <c r="AF164" s="353"/>
      <c r="AG164" s="353"/>
      <c r="AH164" s="353"/>
      <c r="AI164" s="353">
        <f>AE164</f>
        <v>1</v>
      </c>
      <c r="AJ164" s="353"/>
      <c r="AK164" s="353"/>
      <c r="AL164" s="353"/>
      <c r="AM164" s="353"/>
      <c r="AN164" s="353"/>
      <c r="AO164" s="347">
        <v>0.66</v>
      </c>
      <c r="AP164" s="353"/>
      <c r="AQ164" s="348">
        <f t="shared" si="40"/>
        <v>0.66</v>
      </c>
      <c r="AR164" s="380"/>
    </row>
    <row r="165" spans="1:44" s="354" customFormat="1" ht="31.5" customHeight="1">
      <c r="A165" s="382" t="s">
        <v>353</v>
      </c>
      <c r="B165" s="357" t="s">
        <v>354</v>
      </c>
      <c r="C165" s="343"/>
      <c r="D165" s="384"/>
      <c r="E165" s="347"/>
      <c r="F165" s="384">
        <v>0.5</v>
      </c>
      <c r="G165" s="347"/>
      <c r="H165" s="353"/>
      <c r="I165" s="353"/>
      <c r="J165" s="353">
        <f t="shared" si="36"/>
        <v>0.5</v>
      </c>
      <c r="K165" s="353"/>
      <c r="L165" s="353"/>
      <c r="M165" s="353"/>
      <c r="N165" s="353"/>
      <c r="O165" s="353"/>
      <c r="P165" s="353"/>
      <c r="Q165" s="353"/>
      <c r="R165" s="353"/>
      <c r="S165" s="345">
        <f t="shared" si="37"/>
        <v>0.23728813559322037</v>
      </c>
      <c r="T165" s="353"/>
      <c r="U165" s="353"/>
      <c r="V165" s="353"/>
      <c r="W165" s="353"/>
      <c r="X165" s="353"/>
      <c r="Y165" s="347"/>
      <c r="Z165" s="347"/>
      <c r="AA165" s="353"/>
      <c r="AB165" s="345"/>
      <c r="AC165" s="345">
        <f t="shared" si="38"/>
        <v>0</v>
      </c>
      <c r="AD165" s="353"/>
      <c r="AE165" s="384">
        <v>0.5</v>
      </c>
      <c r="AF165" s="353"/>
      <c r="AG165" s="353"/>
      <c r="AH165" s="353"/>
      <c r="AI165" s="353">
        <f>AE165</f>
        <v>0.5</v>
      </c>
      <c r="AJ165" s="353"/>
      <c r="AK165" s="353"/>
      <c r="AL165" s="353"/>
      <c r="AM165" s="353"/>
      <c r="AN165" s="353"/>
      <c r="AO165" s="347">
        <v>0.28</v>
      </c>
      <c r="AP165" s="353"/>
      <c r="AQ165" s="348">
        <f t="shared" si="40"/>
        <v>0.28</v>
      </c>
      <c r="AR165" s="380"/>
    </row>
    <row r="166" spans="1:44" s="354" customFormat="1" ht="31.5" customHeight="1">
      <c r="A166" s="387" t="s">
        <v>355</v>
      </c>
      <c r="B166" s="388" t="s">
        <v>356</v>
      </c>
      <c r="C166" s="368">
        <f aca="true" t="shared" si="41" ref="C166:J166">SUM(C167:C172)</f>
        <v>0</v>
      </c>
      <c r="D166" s="368">
        <f t="shared" si="41"/>
        <v>2.05</v>
      </c>
      <c r="E166" s="368">
        <f t="shared" si="41"/>
        <v>0</v>
      </c>
      <c r="F166" s="368">
        <f t="shared" si="41"/>
        <v>4.93</v>
      </c>
      <c r="G166" s="368">
        <f t="shared" si="41"/>
        <v>0</v>
      </c>
      <c r="H166" s="368">
        <f t="shared" si="41"/>
        <v>1.23</v>
      </c>
      <c r="I166" s="368">
        <f t="shared" si="41"/>
        <v>0</v>
      </c>
      <c r="J166" s="368">
        <f t="shared" si="41"/>
        <v>8.209999999999999</v>
      </c>
      <c r="K166" s="368">
        <f aca="true" t="shared" si="42" ref="K166:R166">SUM(K167:K171)</f>
        <v>0</v>
      </c>
      <c r="L166" s="368">
        <f t="shared" si="42"/>
        <v>0</v>
      </c>
      <c r="M166" s="368">
        <f t="shared" si="42"/>
        <v>0</v>
      </c>
      <c r="N166" s="368">
        <f t="shared" si="42"/>
        <v>0</v>
      </c>
      <c r="O166" s="368">
        <f t="shared" si="42"/>
        <v>0</v>
      </c>
      <c r="P166" s="368">
        <f t="shared" si="42"/>
        <v>0</v>
      </c>
      <c r="Q166" s="368">
        <f t="shared" si="42"/>
        <v>0</v>
      </c>
      <c r="R166" s="368">
        <f t="shared" si="42"/>
        <v>0</v>
      </c>
      <c r="S166" s="368">
        <f aca="true" t="shared" si="43" ref="S166:AQ166">SUM(S167:S172)</f>
        <v>12.237288135593221</v>
      </c>
      <c r="T166" s="368">
        <f t="shared" si="43"/>
        <v>0</v>
      </c>
      <c r="U166" s="368">
        <f t="shared" si="43"/>
        <v>0</v>
      </c>
      <c r="V166" s="368">
        <f t="shared" si="43"/>
        <v>0</v>
      </c>
      <c r="W166" s="368">
        <f t="shared" si="43"/>
        <v>0</v>
      </c>
      <c r="X166" s="368">
        <f t="shared" si="43"/>
        <v>0</v>
      </c>
      <c r="Y166" s="368">
        <f t="shared" si="43"/>
        <v>2.05</v>
      </c>
      <c r="Z166" s="368">
        <f t="shared" si="43"/>
        <v>0</v>
      </c>
      <c r="AA166" s="368">
        <f t="shared" si="43"/>
        <v>0</v>
      </c>
      <c r="AB166" s="368">
        <f t="shared" si="43"/>
        <v>0</v>
      </c>
      <c r="AC166" s="368">
        <f t="shared" si="43"/>
        <v>2.05</v>
      </c>
      <c r="AD166" s="368">
        <f t="shared" si="43"/>
        <v>0</v>
      </c>
      <c r="AE166" s="368">
        <f t="shared" si="43"/>
        <v>4.93</v>
      </c>
      <c r="AF166" s="368">
        <f t="shared" si="43"/>
        <v>0</v>
      </c>
      <c r="AG166" s="368">
        <f t="shared" si="43"/>
        <v>1.23</v>
      </c>
      <c r="AH166" s="368">
        <f t="shared" si="43"/>
        <v>0</v>
      </c>
      <c r="AI166" s="368">
        <f t="shared" si="43"/>
        <v>8.209999999999999</v>
      </c>
      <c r="AJ166" s="368">
        <f t="shared" si="43"/>
        <v>0</v>
      </c>
      <c r="AK166" s="368">
        <f t="shared" si="43"/>
        <v>0</v>
      </c>
      <c r="AL166" s="368">
        <f t="shared" si="43"/>
        <v>3.9</v>
      </c>
      <c r="AM166" s="368">
        <f t="shared" si="43"/>
        <v>0</v>
      </c>
      <c r="AN166" s="368">
        <f t="shared" si="43"/>
        <v>3.9</v>
      </c>
      <c r="AO166" s="368">
        <f t="shared" si="43"/>
        <v>8.879999999999999</v>
      </c>
      <c r="AP166" s="368">
        <f t="shared" si="43"/>
        <v>1.66</v>
      </c>
      <c r="AQ166" s="389">
        <f t="shared" si="43"/>
        <v>14.439999999999998</v>
      </c>
      <c r="AR166" s="380"/>
    </row>
    <row r="167" spans="1:44" s="354" customFormat="1" ht="15">
      <c r="A167" s="382" t="s">
        <v>357</v>
      </c>
      <c r="B167" s="358" t="s">
        <v>358</v>
      </c>
      <c r="C167" s="343"/>
      <c r="D167" s="343">
        <v>2.05</v>
      </c>
      <c r="E167" s="347"/>
      <c r="F167" s="347"/>
      <c r="G167" s="347"/>
      <c r="H167" s="343"/>
      <c r="I167" s="343"/>
      <c r="J167" s="353">
        <f>C167+D167+E167+F167+G167+H167</f>
        <v>2.05</v>
      </c>
      <c r="K167" s="353"/>
      <c r="L167" s="343"/>
      <c r="M167" s="343"/>
      <c r="N167" s="343"/>
      <c r="O167" s="343"/>
      <c r="P167" s="343"/>
      <c r="Q167" s="343"/>
      <c r="R167" s="343"/>
      <c r="S167" s="345">
        <f aca="true" t="shared" si="44" ref="S167:S172">AQ167/1.18</f>
        <v>3.305084745762712</v>
      </c>
      <c r="T167" s="343"/>
      <c r="U167" s="343"/>
      <c r="V167" s="343"/>
      <c r="W167" s="343"/>
      <c r="X167" s="343"/>
      <c r="Y167" s="343">
        <v>2.05</v>
      </c>
      <c r="Z167" s="343"/>
      <c r="AA167" s="343"/>
      <c r="AB167" s="343"/>
      <c r="AC167" s="345">
        <f>U167+W167+Y167+AA167</f>
        <v>2.05</v>
      </c>
      <c r="AD167" s="343"/>
      <c r="AE167" s="343"/>
      <c r="AF167" s="343"/>
      <c r="AG167" s="343"/>
      <c r="AH167" s="343"/>
      <c r="AI167" s="353">
        <f aca="true" t="shared" si="45" ref="AI167:AI172">AC167+AE167+AG167</f>
        <v>2.05</v>
      </c>
      <c r="AJ167" s="343"/>
      <c r="AK167" s="343"/>
      <c r="AL167" s="343">
        <v>3.9</v>
      </c>
      <c r="AM167" s="343"/>
      <c r="AN167" s="353">
        <f>AJ167+AK167+AL167+AM167</f>
        <v>3.9</v>
      </c>
      <c r="AO167" s="343"/>
      <c r="AP167" s="347"/>
      <c r="AQ167" s="348">
        <f aca="true" t="shared" si="46" ref="AQ167:AQ172">AP167+AO167+AN167</f>
        <v>3.9</v>
      </c>
      <c r="AR167" s="380"/>
    </row>
    <row r="168" spans="1:44" s="354" customFormat="1" ht="31.5" customHeight="1">
      <c r="A168" s="382" t="s">
        <v>359</v>
      </c>
      <c r="B168" s="358" t="s">
        <v>360</v>
      </c>
      <c r="C168" s="343"/>
      <c r="D168" s="343"/>
      <c r="E168" s="347"/>
      <c r="F168" s="347"/>
      <c r="G168" s="347"/>
      <c r="H168" s="343">
        <v>0.45</v>
      </c>
      <c r="I168" s="343"/>
      <c r="J168" s="353">
        <v>0.45</v>
      </c>
      <c r="K168" s="353"/>
      <c r="L168" s="343"/>
      <c r="M168" s="343"/>
      <c r="N168" s="343"/>
      <c r="O168" s="343"/>
      <c r="P168" s="343"/>
      <c r="Q168" s="343"/>
      <c r="R168" s="343"/>
      <c r="S168" s="345">
        <f t="shared" si="44"/>
        <v>0.5254237288135594</v>
      </c>
      <c r="T168" s="343"/>
      <c r="U168" s="343"/>
      <c r="V168" s="343"/>
      <c r="W168" s="343"/>
      <c r="X168" s="343"/>
      <c r="Y168" s="343"/>
      <c r="Z168" s="343"/>
      <c r="AA168" s="343">
        <v>0</v>
      </c>
      <c r="AB168" s="343"/>
      <c r="AC168" s="345">
        <f>U168+W168+Y168+AA168</f>
        <v>0</v>
      </c>
      <c r="AD168" s="343"/>
      <c r="AE168" s="343"/>
      <c r="AF168" s="343"/>
      <c r="AG168" s="343">
        <v>0.45</v>
      </c>
      <c r="AH168" s="343"/>
      <c r="AI168" s="353">
        <f t="shared" si="45"/>
        <v>0.45</v>
      </c>
      <c r="AJ168" s="343"/>
      <c r="AK168" s="343"/>
      <c r="AL168" s="343"/>
      <c r="AM168" s="343"/>
      <c r="AN168" s="353">
        <f>AJ168+AK168+AL168+AM168</f>
        <v>0</v>
      </c>
      <c r="AO168" s="343">
        <v>0.62</v>
      </c>
      <c r="AP168" s="347">
        <v>0</v>
      </c>
      <c r="AQ168" s="348">
        <f t="shared" si="46"/>
        <v>0.62</v>
      </c>
      <c r="AR168" s="380"/>
    </row>
    <row r="169" spans="1:44" s="354" customFormat="1" ht="24">
      <c r="A169" s="382" t="s">
        <v>361</v>
      </c>
      <c r="B169" s="359" t="s">
        <v>362</v>
      </c>
      <c r="C169" s="343"/>
      <c r="D169" s="343"/>
      <c r="E169" s="347"/>
      <c r="F169" s="390">
        <v>1.76</v>
      </c>
      <c r="G169" s="347"/>
      <c r="H169" s="343"/>
      <c r="I169" s="343"/>
      <c r="J169" s="353">
        <f>C169+D169+E169+F169+G169+H169</f>
        <v>1.76</v>
      </c>
      <c r="K169" s="353"/>
      <c r="L169" s="343"/>
      <c r="M169" s="343"/>
      <c r="N169" s="343"/>
      <c r="O169" s="343"/>
      <c r="P169" s="343"/>
      <c r="Q169" s="343"/>
      <c r="R169" s="343"/>
      <c r="S169" s="345">
        <f t="shared" si="44"/>
        <v>1.7118644067796611</v>
      </c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5">
        <f>U169+W169+Y169+AA169</f>
        <v>0</v>
      </c>
      <c r="AD169" s="343"/>
      <c r="AE169" s="390">
        <v>1.76</v>
      </c>
      <c r="AF169" s="343"/>
      <c r="AG169" s="343"/>
      <c r="AH169" s="343"/>
      <c r="AI169" s="353">
        <f t="shared" si="45"/>
        <v>1.76</v>
      </c>
      <c r="AJ169" s="343"/>
      <c r="AK169" s="343"/>
      <c r="AL169" s="343"/>
      <c r="AM169" s="343"/>
      <c r="AN169" s="353">
        <f>AJ169+AK169+AL169+AM169</f>
        <v>0</v>
      </c>
      <c r="AO169" s="343">
        <v>2.02</v>
      </c>
      <c r="AP169" s="347"/>
      <c r="AQ169" s="348">
        <f t="shared" si="46"/>
        <v>2.02</v>
      </c>
      <c r="AR169" s="380"/>
    </row>
    <row r="170" spans="1:44" s="354" customFormat="1" ht="15">
      <c r="A170" s="382" t="s">
        <v>363</v>
      </c>
      <c r="B170" s="359" t="s">
        <v>364</v>
      </c>
      <c r="C170" s="343"/>
      <c r="D170" s="343"/>
      <c r="E170" s="347"/>
      <c r="F170" s="390">
        <v>1.8</v>
      </c>
      <c r="G170" s="347"/>
      <c r="H170" s="343"/>
      <c r="I170" s="343"/>
      <c r="J170" s="353">
        <f>C170+D170+E170+F170+G170+H170</f>
        <v>1.8</v>
      </c>
      <c r="K170" s="353"/>
      <c r="L170" s="343"/>
      <c r="M170" s="343"/>
      <c r="N170" s="343"/>
      <c r="O170" s="343"/>
      <c r="P170" s="343"/>
      <c r="Q170" s="343"/>
      <c r="R170" s="343"/>
      <c r="S170" s="345">
        <f t="shared" si="44"/>
        <v>2.016949152542373</v>
      </c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5">
        <f>U170+W170+Y170+AA170</f>
        <v>0</v>
      </c>
      <c r="AD170" s="343"/>
      <c r="AE170" s="390">
        <v>1.8</v>
      </c>
      <c r="AF170" s="343"/>
      <c r="AG170" s="343"/>
      <c r="AH170" s="343"/>
      <c r="AI170" s="353">
        <f t="shared" si="45"/>
        <v>1.8</v>
      </c>
      <c r="AJ170" s="343"/>
      <c r="AK170" s="343"/>
      <c r="AL170" s="343"/>
      <c r="AM170" s="343"/>
      <c r="AN170" s="353">
        <f>AJ170+AK170+AL170+AM170</f>
        <v>0</v>
      </c>
      <c r="AO170" s="343">
        <v>2.38</v>
      </c>
      <c r="AP170" s="347"/>
      <c r="AQ170" s="348">
        <f t="shared" si="46"/>
        <v>2.38</v>
      </c>
      <c r="AR170" s="380"/>
    </row>
    <row r="171" spans="1:44" s="354" customFormat="1" ht="15">
      <c r="A171" s="382" t="s">
        <v>365</v>
      </c>
      <c r="B171" s="359" t="s">
        <v>366</v>
      </c>
      <c r="C171" s="343"/>
      <c r="D171" s="343"/>
      <c r="E171" s="347"/>
      <c r="F171" s="347">
        <v>1.37</v>
      </c>
      <c r="G171" s="347"/>
      <c r="H171" s="343"/>
      <c r="I171" s="343"/>
      <c r="J171" s="353">
        <f>C171+D171+E171+F171+G171+H171</f>
        <v>1.37</v>
      </c>
      <c r="K171" s="353"/>
      <c r="L171" s="343"/>
      <c r="M171" s="343"/>
      <c r="N171" s="343"/>
      <c r="O171" s="343"/>
      <c r="P171" s="343"/>
      <c r="Q171" s="343"/>
      <c r="R171" s="343"/>
      <c r="S171" s="345">
        <f t="shared" si="44"/>
        <v>3.2711864406779663</v>
      </c>
      <c r="T171" s="343"/>
      <c r="U171" s="343"/>
      <c r="V171" s="343" t="s">
        <v>37</v>
      </c>
      <c r="W171" s="343"/>
      <c r="X171" s="343"/>
      <c r="Y171" s="343"/>
      <c r="Z171" s="343"/>
      <c r="AA171" s="343"/>
      <c r="AB171" s="343"/>
      <c r="AC171" s="345">
        <f>U171+W171+Y171+AA171</f>
        <v>0</v>
      </c>
      <c r="AD171" s="343"/>
      <c r="AE171" s="343">
        <v>1.37</v>
      </c>
      <c r="AF171" s="343"/>
      <c r="AG171" s="343"/>
      <c r="AH171" s="343"/>
      <c r="AI171" s="353">
        <f t="shared" si="45"/>
        <v>1.37</v>
      </c>
      <c r="AJ171" s="343"/>
      <c r="AK171" s="343"/>
      <c r="AL171" s="343"/>
      <c r="AM171" s="343"/>
      <c r="AN171" s="353">
        <f>AJ171+AK171+AL171+AM171</f>
        <v>0</v>
      </c>
      <c r="AO171" s="343">
        <v>3.86</v>
      </c>
      <c r="AP171" s="347"/>
      <c r="AQ171" s="348">
        <f t="shared" si="46"/>
        <v>3.86</v>
      </c>
      <c r="AR171" s="380"/>
    </row>
    <row r="172" spans="1:44" s="354" customFormat="1" ht="15">
      <c r="A172" s="382" t="s">
        <v>367</v>
      </c>
      <c r="B172" s="359" t="s">
        <v>368</v>
      </c>
      <c r="C172" s="343"/>
      <c r="D172" s="343"/>
      <c r="E172" s="347"/>
      <c r="F172" s="347"/>
      <c r="G172" s="347"/>
      <c r="H172" s="390">
        <v>0.78</v>
      </c>
      <c r="I172" s="343"/>
      <c r="J172" s="353">
        <f>C172+D172+E172+F172+G172+H172</f>
        <v>0.78</v>
      </c>
      <c r="K172" s="353"/>
      <c r="L172" s="343"/>
      <c r="M172" s="343"/>
      <c r="N172" s="343"/>
      <c r="O172" s="343"/>
      <c r="P172" s="343"/>
      <c r="Q172" s="343"/>
      <c r="R172" s="343"/>
      <c r="S172" s="345">
        <f t="shared" si="44"/>
        <v>1.4067796610169492</v>
      </c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5"/>
      <c r="AD172" s="343"/>
      <c r="AE172" s="343"/>
      <c r="AF172" s="343"/>
      <c r="AG172" s="390">
        <v>0.78</v>
      </c>
      <c r="AH172" s="343"/>
      <c r="AI172" s="353">
        <f t="shared" si="45"/>
        <v>0.78</v>
      </c>
      <c r="AJ172" s="343"/>
      <c r="AK172" s="343"/>
      <c r="AL172" s="343"/>
      <c r="AM172" s="343"/>
      <c r="AN172" s="353">
        <v>0</v>
      </c>
      <c r="AO172" s="343">
        <v>0</v>
      </c>
      <c r="AP172" s="347">
        <v>1.66</v>
      </c>
      <c r="AQ172" s="348">
        <f t="shared" si="46"/>
        <v>1.66</v>
      </c>
      <c r="AR172" s="380"/>
    </row>
    <row r="173" spans="1:44" s="354" customFormat="1" ht="15">
      <c r="A173" s="387" t="s">
        <v>370</v>
      </c>
      <c r="B173" s="388" t="s">
        <v>371</v>
      </c>
      <c r="C173" s="368">
        <f aca="true" t="shared" si="47" ref="C173:AQ173">SUM(C174)</f>
        <v>0</v>
      </c>
      <c r="D173" s="368">
        <f t="shared" si="47"/>
        <v>0</v>
      </c>
      <c r="E173" s="368">
        <f t="shared" si="47"/>
        <v>2</v>
      </c>
      <c r="F173" s="368">
        <f t="shared" si="47"/>
        <v>0</v>
      </c>
      <c r="G173" s="368">
        <f t="shared" si="47"/>
        <v>0</v>
      </c>
      <c r="H173" s="368">
        <f t="shared" si="47"/>
        <v>0</v>
      </c>
      <c r="I173" s="368">
        <f t="shared" si="47"/>
        <v>2</v>
      </c>
      <c r="J173" s="368">
        <f t="shared" si="47"/>
        <v>0</v>
      </c>
      <c r="K173" s="368">
        <f t="shared" si="47"/>
        <v>0</v>
      </c>
      <c r="L173" s="368">
        <f t="shared" si="47"/>
        <v>0</v>
      </c>
      <c r="M173" s="368">
        <f t="shared" si="47"/>
        <v>0</v>
      </c>
      <c r="N173" s="368">
        <f t="shared" si="47"/>
        <v>0</v>
      </c>
      <c r="O173" s="368">
        <f t="shared" si="47"/>
        <v>0</v>
      </c>
      <c r="P173" s="368">
        <f t="shared" si="47"/>
        <v>0</v>
      </c>
      <c r="Q173" s="368">
        <f t="shared" si="47"/>
        <v>0</v>
      </c>
      <c r="R173" s="368">
        <f t="shared" si="47"/>
        <v>0</v>
      </c>
      <c r="S173" s="368">
        <f t="shared" si="47"/>
        <v>2.3000000000000003</v>
      </c>
      <c r="T173" s="368">
        <f t="shared" si="47"/>
        <v>0</v>
      </c>
      <c r="U173" s="368">
        <f t="shared" si="47"/>
        <v>0</v>
      </c>
      <c r="V173" s="368">
        <f t="shared" si="47"/>
        <v>0</v>
      </c>
      <c r="W173" s="368">
        <f t="shared" si="47"/>
        <v>0</v>
      </c>
      <c r="X173" s="368">
        <f t="shared" si="47"/>
        <v>0</v>
      </c>
      <c r="Y173" s="368">
        <f t="shared" si="47"/>
        <v>0</v>
      </c>
      <c r="Z173" s="368">
        <f t="shared" si="47"/>
        <v>0</v>
      </c>
      <c r="AA173" s="368">
        <f t="shared" si="47"/>
        <v>0</v>
      </c>
      <c r="AB173" s="368">
        <f t="shared" si="47"/>
        <v>0</v>
      </c>
      <c r="AC173" s="368">
        <f t="shared" si="47"/>
        <v>0</v>
      </c>
      <c r="AD173" s="368">
        <f t="shared" si="47"/>
        <v>2</v>
      </c>
      <c r="AE173" s="368">
        <f t="shared" si="47"/>
        <v>0</v>
      </c>
      <c r="AF173" s="368">
        <f t="shared" si="47"/>
        <v>0</v>
      </c>
      <c r="AG173" s="368">
        <f t="shared" si="47"/>
        <v>0</v>
      </c>
      <c r="AH173" s="368">
        <f t="shared" si="47"/>
        <v>2</v>
      </c>
      <c r="AI173" s="368">
        <f t="shared" si="47"/>
        <v>0</v>
      </c>
      <c r="AJ173" s="368">
        <f t="shared" si="47"/>
        <v>0</v>
      </c>
      <c r="AK173" s="368">
        <f t="shared" si="47"/>
        <v>0</v>
      </c>
      <c r="AL173" s="368">
        <f t="shared" si="47"/>
        <v>0</v>
      </c>
      <c r="AM173" s="368">
        <f t="shared" si="47"/>
        <v>0</v>
      </c>
      <c r="AN173" s="368">
        <f t="shared" si="47"/>
        <v>0</v>
      </c>
      <c r="AO173" s="368">
        <f t="shared" si="47"/>
        <v>2.714</v>
      </c>
      <c r="AP173" s="368">
        <f t="shared" si="47"/>
        <v>0</v>
      </c>
      <c r="AQ173" s="389">
        <f t="shared" si="47"/>
        <v>2.714</v>
      </c>
      <c r="AR173" s="380"/>
    </row>
    <row r="174" spans="1:44" s="354" customFormat="1" ht="15">
      <c r="A174" s="391" t="s">
        <v>372</v>
      </c>
      <c r="B174" s="352" t="s">
        <v>373</v>
      </c>
      <c r="C174" s="343"/>
      <c r="D174" s="343"/>
      <c r="E174" s="347">
        <v>2</v>
      </c>
      <c r="F174" s="347"/>
      <c r="G174" s="347"/>
      <c r="H174" s="343"/>
      <c r="I174" s="343">
        <f>E174</f>
        <v>2</v>
      </c>
      <c r="J174" s="353" t="s">
        <v>37</v>
      </c>
      <c r="K174" s="353"/>
      <c r="L174" s="343"/>
      <c r="M174" s="343"/>
      <c r="N174" s="343"/>
      <c r="O174" s="343"/>
      <c r="P174" s="343"/>
      <c r="Q174" s="343"/>
      <c r="R174" s="343"/>
      <c r="S174" s="345">
        <f>AQ174/1.18</f>
        <v>2.3000000000000003</v>
      </c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>
        <f>E174</f>
        <v>2</v>
      </c>
      <c r="AE174" s="343" t="s">
        <v>37</v>
      </c>
      <c r="AF174" s="343"/>
      <c r="AG174" s="343"/>
      <c r="AH174" s="343">
        <v>2</v>
      </c>
      <c r="AI174" s="353"/>
      <c r="AJ174" s="343"/>
      <c r="AK174" s="343"/>
      <c r="AL174" s="343"/>
      <c r="AM174" s="343"/>
      <c r="AN174" s="343"/>
      <c r="AO174" s="353">
        <f>(2.1+0.2)*1.18</f>
        <v>2.714</v>
      </c>
      <c r="AP174" s="343"/>
      <c r="AQ174" s="348">
        <f>AP174+AO174+AN174</f>
        <v>2.714</v>
      </c>
      <c r="AR174" s="380"/>
    </row>
    <row r="175" spans="1:44" s="354" customFormat="1" ht="15">
      <c r="A175" s="387" t="s">
        <v>374</v>
      </c>
      <c r="B175" s="388" t="s">
        <v>375</v>
      </c>
      <c r="C175" s="368">
        <v>0</v>
      </c>
      <c r="D175" s="368">
        <v>0</v>
      </c>
      <c r="E175" s="368">
        <v>0</v>
      </c>
      <c r="F175" s="368">
        <v>0</v>
      </c>
      <c r="G175" s="368">
        <v>0</v>
      </c>
      <c r="H175" s="368">
        <v>0</v>
      </c>
      <c r="I175" s="368">
        <v>0</v>
      </c>
      <c r="J175" s="368">
        <v>0</v>
      </c>
      <c r="K175" s="368">
        <v>0</v>
      </c>
      <c r="L175" s="368">
        <v>0</v>
      </c>
      <c r="M175" s="368">
        <v>0</v>
      </c>
      <c r="N175" s="368">
        <v>0</v>
      </c>
      <c r="O175" s="368">
        <v>0</v>
      </c>
      <c r="P175" s="368">
        <v>0</v>
      </c>
      <c r="Q175" s="368">
        <v>0</v>
      </c>
      <c r="R175" s="368">
        <v>0</v>
      </c>
      <c r="S175" s="368">
        <f>AQ175/1.18</f>
        <v>2.5677966101694913</v>
      </c>
      <c r="T175" s="368">
        <v>0</v>
      </c>
      <c r="U175" s="368">
        <v>0</v>
      </c>
      <c r="V175" s="368">
        <v>0</v>
      </c>
      <c r="W175" s="368">
        <v>0</v>
      </c>
      <c r="X175" s="368">
        <v>0</v>
      </c>
      <c r="Y175" s="368">
        <v>0</v>
      </c>
      <c r="Z175" s="368">
        <v>0</v>
      </c>
      <c r="AA175" s="368">
        <v>0</v>
      </c>
      <c r="AB175" s="368">
        <v>0</v>
      </c>
      <c r="AC175" s="368">
        <v>0</v>
      </c>
      <c r="AD175" s="368">
        <v>0</v>
      </c>
      <c r="AE175" s="368">
        <v>0</v>
      </c>
      <c r="AF175" s="368">
        <v>0</v>
      </c>
      <c r="AG175" s="368">
        <v>0</v>
      </c>
      <c r="AH175" s="368">
        <v>0</v>
      </c>
      <c r="AI175" s="368">
        <v>0</v>
      </c>
      <c r="AJ175" s="368">
        <v>0</v>
      </c>
      <c r="AK175" s="368">
        <v>0</v>
      </c>
      <c r="AL175" s="368">
        <v>0</v>
      </c>
      <c r="AM175" s="368">
        <v>0</v>
      </c>
      <c r="AN175" s="368">
        <v>0</v>
      </c>
      <c r="AO175" s="368">
        <f>1.38+1.65</f>
        <v>3.03</v>
      </c>
      <c r="AP175" s="368">
        <v>0</v>
      </c>
      <c r="AQ175" s="389">
        <f>AO175</f>
        <v>3.03</v>
      </c>
      <c r="AR175" s="380"/>
    </row>
    <row r="176" spans="1:44" s="354" customFormat="1" ht="15">
      <c r="A176" s="392" t="s">
        <v>376</v>
      </c>
      <c r="B176" s="393" t="s">
        <v>377</v>
      </c>
      <c r="C176" s="394">
        <v>0</v>
      </c>
      <c r="D176" s="394">
        <v>0</v>
      </c>
      <c r="E176" s="394">
        <v>0</v>
      </c>
      <c r="F176" s="394">
        <v>0</v>
      </c>
      <c r="G176" s="394">
        <v>0</v>
      </c>
      <c r="H176" s="394">
        <v>0</v>
      </c>
      <c r="I176" s="394">
        <v>0</v>
      </c>
      <c r="J176" s="394">
        <v>0</v>
      </c>
      <c r="K176" s="394">
        <v>0</v>
      </c>
      <c r="L176" s="394">
        <v>0</v>
      </c>
      <c r="M176" s="394">
        <v>0</v>
      </c>
      <c r="N176" s="394">
        <v>0</v>
      </c>
      <c r="O176" s="394">
        <v>0</v>
      </c>
      <c r="P176" s="394">
        <v>0</v>
      </c>
      <c r="Q176" s="394">
        <v>0</v>
      </c>
      <c r="R176" s="394">
        <v>0</v>
      </c>
      <c r="S176" s="345">
        <f>AQ176/1.18</f>
        <v>23.923728813559325</v>
      </c>
      <c r="T176" s="394">
        <v>0</v>
      </c>
      <c r="U176" s="394">
        <v>0</v>
      </c>
      <c r="V176" s="394">
        <v>0</v>
      </c>
      <c r="W176" s="394">
        <v>0</v>
      </c>
      <c r="X176" s="394">
        <v>0</v>
      </c>
      <c r="Y176" s="394">
        <v>0</v>
      </c>
      <c r="Z176" s="394">
        <v>0</v>
      </c>
      <c r="AA176" s="394">
        <v>0</v>
      </c>
      <c r="AB176" s="394">
        <v>0</v>
      </c>
      <c r="AC176" s="394">
        <v>0</v>
      </c>
      <c r="AD176" s="394">
        <v>0</v>
      </c>
      <c r="AE176" s="394">
        <v>0</v>
      </c>
      <c r="AF176" s="394">
        <v>0</v>
      </c>
      <c r="AG176" s="394">
        <v>0</v>
      </c>
      <c r="AH176" s="394">
        <v>0</v>
      </c>
      <c r="AI176" s="394">
        <v>0</v>
      </c>
      <c r="AJ176" s="394">
        <v>0</v>
      </c>
      <c r="AK176" s="394">
        <v>0</v>
      </c>
      <c r="AL176" s="394">
        <v>0</v>
      </c>
      <c r="AM176" s="394">
        <v>0</v>
      </c>
      <c r="AN176" s="394">
        <v>0</v>
      </c>
      <c r="AO176" s="394">
        <f>'приложение 1.1'!U173</f>
        <v>20.25</v>
      </c>
      <c r="AP176" s="394">
        <f>'приложение 1.1'!V173</f>
        <v>7.98</v>
      </c>
      <c r="AQ176" s="395">
        <f>AP176+AO176+AN176</f>
        <v>28.23</v>
      </c>
      <c r="AR176" s="380"/>
    </row>
    <row r="177" spans="1:43" s="354" customFormat="1" ht="15">
      <c r="A177" s="396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</row>
    <row r="178" spans="1:43" s="354" customFormat="1" ht="15">
      <c r="A178" s="397" t="s">
        <v>467</v>
      </c>
      <c r="B178" s="398" t="s">
        <v>468</v>
      </c>
      <c r="C178" s="398"/>
      <c r="D178" s="298"/>
      <c r="E178" s="398"/>
      <c r="F178" s="398"/>
      <c r="G178" s="398"/>
      <c r="H178" s="398"/>
      <c r="I178" s="398"/>
      <c r="J178" s="398"/>
      <c r="K178" s="398"/>
      <c r="L178" s="398"/>
      <c r="M178" s="398"/>
      <c r="N178" s="398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</row>
    <row r="179" spans="1:43" s="354" customFormat="1" ht="15">
      <c r="A179" s="397" t="s">
        <v>469</v>
      </c>
      <c r="B179" s="398" t="s">
        <v>470</v>
      </c>
      <c r="C179" s="398"/>
      <c r="D179" s="2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</row>
    <row r="180" spans="1:43" s="354" customFormat="1" ht="15">
      <c r="A180" s="397"/>
      <c r="B180" s="398" t="s">
        <v>471</v>
      </c>
      <c r="C180" s="398"/>
      <c r="D180" s="298"/>
      <c r="E180" s="398"/>
      <c r="F180" s="398"/>
      <c r="G180" s="398"/>
      <c r="H180" s="398"/>
      <c r="I180" s="398"/>
      <c r="J180" s="398"/>
      <c r="K180" s="398"/>
      <c r="L180" s="398"/>
      <c r="M180" s="398"/>
      <c r="N180" s="398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</row>
    <row r="181" spans="1:43" s="354" customFormat="1" ht="15">
      <c r="A181" s="397" t="s">
        <v>472</v>
      </c>
      <c r="B181" s="398" t="s">
        <v>473</v>
      </c>
      <c r="C181" s="398"/>
      <c r="D181" s="298"/>
      <c r="E181" s="398"/>
      <c r="F181" s="398"/>
      <c r="G181" s="398"/>
      <c r="H181" s="398"/>
      <c r="I181" s="398"/>
      <c r="J181" s="398"/>
      <c r="K181" s="398"/>
      <c r="L181" s="398"/>
      <c r="M181" s="398"/>
      <c r="N181" s="398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</row>
    <row r="182" spans="1:43" s="354" customFormat="1" ht="15">
      <c r="A182" s="397"/>
      <c r="B182" s="398"/>
      <c r="C182" s="398"/>
      <c r="D182" s="398"/>
      <c r="E182" s="398"/>
      <c r="F182" s="398"/>
      <c r="G182" s="398"/>
      <c r="H182" s="398"/>
      <c r="I182" s="398"/>
      <c r="J182" s="398"/>
      <c r="K182" s="398"/>
      <c r="L182" s="398"/>
      <c r="M182" s="398"/>
      <c r="N182" s="398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303"/>
      <c r="AC182" s="303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303"/>
      <c r="AO182" s="303"/>
      <c r="AP182" s="303"/>
      <c r="AQ182" s="303"/>
    </row>
    <row r="183" spans="1:43" s="354" customFormat="1" ht="15">
      <c r="A183" s="397" t="s">
        <v>474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398"/>
      <c r="L183" s="398"/>
      <c r="M183" s="398"/>
      <c r="N183" s="398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</row>
    <row r="184" spans="1:44" s="354" customFormat="1" ht="15">
      <c r="A184" s="303"/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  <c r="AA184" s="303"/>
      <c r="AB184" s="303"/>
      <c r="AC184" s="303"/>
      <c r="AD184" s="303"/>
      <c r="AE184" s="303"/>
      <c r="AF184" s="303"/>
      <c r="AG184" s="303"/>
      <c r="AH184" s="303"/>
      <c r="AI184" s="303"/>
      <c r="AJ184" s="303"/>
      <c r="AK184" s="303"/>
      <c r="AL184" s="303"/>
      <c r="AM184" s="303"/>
      <c r="AN184" s="303"/>
      <c r="AO184" s="303"/>
      <c r="AP184" s="303"/>
      <c r="AQ184" s="303"/>
      <c r="AR184" s="303"/>
    </row>
    <row r="185" spans="1:44" s="354" customFormat="1" ht="15">
      <c r="A185" s="303"/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03"/>
      <c r="AC185" s="303"/>
      <c r="AD185" s="303"/>
      <c r="AE185" s="303"/>
      <c r="AF185" s="303"/>
      <c r="AG185" s="303"/>
      <c r="AH185" s="303"/>
      <c r="AI185" s="303"/>
      <c r="AJ185" s="303"/>
      <c r="AK185" s="303"/>
      <c r="AL185" s="303"/>
      <c r="AM185" s="303"/>
      <c r="AN185" s="303"/>
      <c r="AO185" s="303"/>
      <c r="AP185" s="303"/>
      <c r="AQ185" s="303"/>
      <c r="AR185" s="303"/>
    </row>
    <row r="186" spans="1:43" s="354" customFormat="1" ht="15">
      <c r="A186" s="303"/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  <c r="AA186" s="303"/>
      <c r="AB186" s="303"/>
      <c r="AC186" s="303"/>
      <c r="AD186" s="303"/>
      <c r="AE186" s="303"/>
      <c r="AF186" s="303"/>
      <c r="AG186" s="303"/>
      <c r="AH186" s="303"/>
      <c r="AI186" s="303"/>
      <c r="AJ186" s="303"/>
      <c r="AK186" s="303"/>
      <c r="AL186" s="303"/>
      <c r="AM186" s="303"/>
      <c r="AN186" s="303"/>
      <c r="AO186" s="303"/>
      <c r="AP186" s="303"/>
      <c r="AQ186" s="303"/>
    </row>
    <row r="187" spans="1:43" s="354" customFormat="1" ht="15">
      <c r="A187" s="303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303"/>
      <c r="AF187" s="303"/>
      <c r="AG187" s="303"/>
      <c r="AH187" s="303"/>
      <c r="AI187" s="303"/>
      <c r="AJ187" s="303"/>
      <c r="AK187" s="303"/>
      <c r="AL187" s="303"/>
      <c r="AM187" s="303"/>
      <c r="AN187" s="303"/>
      <c r="AO187" s="303"/>
      <c r="AP187" s="303"/>
      <c r="AQ187" s="303"/>
    </row>
    <row r="188" spans="1:43" s="354" customFormat="1" ht="15">
      <c r="A188" s="303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</row>
    <row r="189" spans="1:43" s="354" customFormat="1" ht="15">
      <c r="A189" s="303"/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3"/>
      <c r="AD189" s="303"/>
      <c r="AE189" s="303"/>
      <c r="AF189" s="303"/>
      <c r="AG189" s="303"/>
      <c r="AH189" s="303"/>
      <c r="AI189" s="303"/>
      <c r="AJ189" s="303"/>
      <c r="AK189" s="303"/>
      <c r="AL189" s="303"/>
      <c r="AM189" s="303"/>
      <c r="AN189" s="303"/>
      <c r="AO189" s="303"/>
      <c r="AP189" s="303"/>
      <c r="AQ189" s="303"/>
    </row>
    <row r="190" spans="1:43" s="354" customFormat="1" ht="15">
      <c r="A190" s="303"/>
      <c r="B190" s="303"/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</row>
    <row r="191" spans="1:43" s="354" customFormat="1" ht="15">
      <c r="A191" s="303"/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03"/>
      <c r="AC191" s="303"/>
      <c r="AD191" s="303"/>
      <c r="AE191" s="303"/>
      <c r="AF191" s="303"/>
      <c r="AG191" s="303"/>
      <c r="AH191" s="303"/>
      <c r="AI191" s="303"/>
      <c r="AJ191" s="303"/>
      <c r="AK191" s="303"/>
      <c r="AL191" s="303"/>
      <c r="AM191" s="303"/>
      <c r="AN191" s="303"/>
      <c r="AO191" s="303"/>
      <c r="AP191" s="303"/>
      <c r="AQ191" s="303"/>
    </row>
    <row r="192" spans="1:43" s="354" customFormat="1" ht="15">
      <c r="A192" s="303"/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</row>
    <row r="193" spans="1:43" s="354" customFormat="1" ht="15">
      <c r="A193" s="303"/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</row>
    <row r="194" spans="1:43" s="354" customFormat="1" ht="15">
      <c r="A194" s="303"/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303"/>
      <c r="AC194" s="303"/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303"/>
      <c r="AO194" s="303"/>
      <c r="AP194" s="303"/>
      <c r="AQ194" s="303"/>
    </row>
    <row r="195" spans="1:43" s="354" customFormat="1" ht="15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303"/>
      <c r="AC195" s="303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303"/>
      <c r="AO195" s="303"/>
      <c r="AP195" s="303"/>
      <c r="AQ195" s="303"/>
    </row>
    <row r="196" spans="1:43" s="354" customFormat="1" ht="15">
      <c r="A196" s="303"/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303"/>
      <c r="AC196" s="303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303"/>
      <c r="AO196" s="303"/>
      <c r="AP196" s="303"/>
      <c r="AQ196" s="303"/>
    </row>
    <row r="197" spans="1:43" s="354" customFormat="1" ht="15">
      <c r="A197" s="303"/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  <c r="AA197" s="303"/>
      <c r="AB197" s="303"/>
      <c r="AC197" s="303"/>
      <c r="AD197" s="303"/>
      <c r="AE197" s="303"/>
      <c r="AF197" s="303"/>
      <c r="AG197" s="303"/>
      <c r="AH197" s="303"/>
      <c r="AI197" s="303"/>
      <c r="AJ197" s="303"/>
      <c r="AK197" s="303"/>
      <c r="AL197" s="303"/>
      <c r="AM197" s="303"/>
      <c r="AN197" s="303"/>
      <c r="AO197" s="303"/>
      <c r="AP197" s="303"/>
      <c r="AQ197" s="303"/>
    </row>
    <row r="198" spans="1:43" s="354" customFormat="1" ht="15">
      <c r="A198" s="303"/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  <c r="AA198" s="303"/>
      <c r="AB198" s="303"/>
      <c r="AC198" s="303"/>
      <c r="AD198" s="303"/>
      <c r="AE198" s="303"/>
      <c r="AF198" s="303"/>
      <c r="AG198" s="303"/>
      <c r="AH198" s="303"/>
      <c r="AI198" s="303"/>
      <c r="AJ198" s="303"/>
      <c r="AK198" s="303"/>
      <c r="AL198" s="303"/>
      <c r="AM198" s="303"/>
      <c r="AN198" s="303"/>
      <c r="AO198" s="303"/>
      <c r="AP198" s="303"/>
      <c r="AQ198" s="303"/>
    </row>
    <row r="199" spans="1:43" s="354" customFormat="1" ht="15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  <c r="AA199" s="303"/>
      <c r="AB199" s="303"/>
      <c r="AC199" s="303"/>
      <c r="AD199" s="303"/>
      <c r="AE199" s="303"/>
      <c r="AF199" s="303"/>
      <c r="AG199" s="303"/>
      <c r="AH199" s="303"/>
      <c r="AI199" s="303"/>
      <c r="AJ199" s="303"/>
      <c r="AK199" s="303"/>
      <c r="AL199" s="303"/>
      <c r="AM199" s="303"/>
      <c r="AN199" s="303"/>
      <c r="AO199" s="303"/>
      <c r="AP199" s="303"/>
      <c r="AQ199" s="303"/>
    </row>
    <row r="200" spans="1:43" s="354" customFormat="1" ht="15">
      <c r="A200" s="303"/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3"/>
      <c r="AD200" s="303"/>
      <c r="AE200" s="303"/>
      <c r="AF200" s="303"/>
      <c r="AG200" s="303"/>
      <c r="AH200" s="303"/>
      <c r="AI200" s="303"/>
      <c r="AJ200" s="303"/>
      <c r="AK200" s="303"/>
      <c r="AL200" s="303"/>
      <c r="AM200" s="303"/>
      <c r="AN200" s="303"/>
      <c r="AO200" s="303"/>
      <c r="AP200" s="303"/>
      <c r="AQ200" s="303"/>
    </row>
    <row r="201" spans="1:43" s="354" customFormat="1" ht="15">
      <c r="A201" s="303"/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</row>
    <row r="202" spans="1:43" s="354" customFormat="1" ht="15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  <c r="AA202" s="303"/>
      <c r="AB202" s="303"/>
      <c r="AC202" s="303"/>
      <c r="AD202" s="303"/>
      <c r="AE202" s="303"/>
      <c r="AF202" s="303"/>
      <c r="AG202" s="303"/>
      <c r="AH202" s="303"/>
      <c r="AI202" s="303"/>
      <c r="AJ202" s="303"/>
      <c r="AK202" s="303"/>
      <c r="AL202" s="303"/>
      <c r="AM202" s="303"/>
      <c r="AN202" s="303"/>
      <c r="AO202" s="303"/>
      <c r="AP202" s="303"/>
      <c r="AQ202" s="303"/>
    </row>
    <row r="203" spans="1:43" s="354" customFormat="1" ht="15">
      <c r="A203" s="303"/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  <c r="AA203" s="303"/>
      <c r="AB203" s="303"/>
      <c r="AC203" s="303"/>
      <c r="AD203" s="303"/>
      <c r="AE203" s="303"/>
      <c r="AF203" s="303"/>
      <c r="AG203" s="303"/>
      <c r="AH203" s="303"/>
      <c r="AI203" s="303"/>
      <c r="AJ203" s="303"/>
      <c r="AK203" s="303"/>
      <c r="AL203" s="303"/>
      <c r="AM203" s="303"/>
      <c r="AN203" s="303"/>
      <c r="AO203" s="303"/>
      <c r="AP203" s="303"/>
      <c r="AQ203" s="303"/>
    </row>
    <row r="204" spans="1:43" s="354" customFormat="1" ht="15">
      <c r="A204" s="303"/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3"/>
      <c r="AD204" s="303"/>
      <c r="AE204" s="303"/>
      <c r="AF204" s="303"/>
      <c r="AG204" s="303"/>
      <c r="AH204" s="303"/>
      <c r="AI204" s="303"/>
      <c r="AJ204" s="303"/>
      <c r="AK204" s="303"/>
      <c r="AL204" s="303"/>
      <c r="AM204" s="303"/>
      <c r="AN204" s="303"/>
      <c r="AO204" s="303"/>
      <c r="AP204" s="303"/>
      <c r="AQ204" s="303"/>
    </row>
    <row r="205" spans="1:43" s="354" customFormat="1" ht="15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</row>
    <row r="206" spans="1:43" s="354" customFormat="1" ht="15">
      <c r="A206" s="303"/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  <c r="AA206" s="303"/>
      <c r="AB206" s="303"/>
      <c r="AC206" s="303"/>
      <c r="AD206" s="303"/>
      <c r="AE206" s="303"/>
      <c r="AF206" s="303"/>
      <c r="AG206" s="303"/>
      <c r="AH206" s="303"/>
      <c r="AI206" s="303"/>
      <c r="AJ206" s="303"/>
      <c r="AK206" s="303"/>
      <c r="AL206" s="303"/>
      <c r="AM206" s="303"/>
      <c r="AN206" s="303"/>
      <c r="AO206" s="303"/>
      <c r="AP206" s="303"/>
      <c r="AQ206" s="303"/>
    </row>
  </sheetData>
  <sheetProtection selectLockedCells="1" selectUnlockedCells="1"/>
  <mergeCells count="35">
    <mergeCell ref="AJ2:AQ2"/>
    <mergeCell ref="A6:AQ6"/>
    <mergeCell ref="A7:AQ7"/>
    <mergeCell ref="AL9:AQ9"/>
    <mergeCell ref="A16:A19"/>
    <mergeCell ref="B16:B19"/>
    <mergeCell ref="C16:J17"/>
    <mergeCell ref="K16:R17"/>
    <mergeCell ref="K18:L18"/>
    <mergeCell ref="M18:N18"/>
    <mergeCell ref="O18:P18"/>
    <mergeCell ref="AF17:AG18"/>
    <mergeCell ref="AH17:AI18"/>
    <mergeCell ref="AJ17:AN17"/>
    <mergeCell ref="AL11:AQ11"/>
    <mergeCell ref="AL12:AQ12"/>
    <mergeCell ref="AN13:AQ13"/>
    <mergeCell ref="T16:AQ16"/>
    <mergeCell ref="T17:AC17"/>
    <mergeCell ref="AD17:AE18"/>
    <mergeCell ref="Z18:AA18"/>
    <mergeCell ref="C18:D18"/>
    <mergeCell ref="E18:F18"/>
    <mergeCell ref="G18:H18"/>
    <mergeCell ref="I18:J18"/>
    <mergeCell ref="AB18:AC18"/>
    <mergeCell ref="AJ19:AQ19"/>
    <mergeCell ref="Q18:R18"/>
    <mergeCell ref="T18:U18"/>
    <mergeCell ref="V18:W18"/>
    <mergeCell ref="X18:Y18"/>
    <mergeCell ref="AO17:AO18"/>
    <mergeCell ref="AP17:AP18"/>
    <mergeCell ref="AQ17:AQ18"/>
    <mergeCell ref="S16:S18"/>
  </mergeCells>
  <printOptions/>
  <pageMargins left="0.7875" right="0.39375" top="0.39375" bottom="0.39375" header="0.5118055555555555" footer="0.5118055555555555"/>
  <pageSetup horizontalDpi="300" verticalDpi="3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C68"/>
  <sheetViews>
    <sheetView view="pageBreakPreview" zoomScale="75" zoomScaleNormal="66" zoomScaleSheetLayoutView="75" workbookViewId="0" topLeftCell="A1">
      <selection activeCell="A1" sqref="A1"/>
    </sheetView>
  </sheetViews>
  <sheetFormatPr defaultColWidth="9.00390625" defaultRowHeight="15.75"/>
  <cols>
    <col min="1" max="1" width="10.75390625" style="0" customWidth="1"/>
    <col min="2" max="2" width="23.25390625" style="0" customWidth="1"/>
    <col min="3" max="3" width="9.75390625" style="0" customWidth="1"/>
    <col min="4" max="4" width="9.125" style="0" customWidth="1"/>
    <col min="5" max="5" width="9.50390625" style="0" customWidth="1"/>
    <col min="6" max="6" width="8.625" style="0" customWidth="1"/>
    <col min="7" max="7" width="10.75390625" style="0" customWidth="1"/>
    <col min="8" max="8" width="8.50390625" style="0" customWidth="1"/>
    <col min="9" max="9" width="10.75390625" style="0" customWidth="1"/>
    <col min="10" max="10" width="8.50390625" style="0" customWidth="1"/>
    <col min="11" max="11" width="10.75390625" style="0" customWidth="1"/>
    <col min="12" max="12" width="8.50390625" style="0" customWidth="1"/>
    <col min="13" max="22" width="10.75390625" style="0" customWidth="1"/>
    <col min="23" max="23" width="25.00390625" style="0" customWidth="1"/>
    <col min="24" max="16384" width="10.75390625" style="0" customWidth="1"/>
  </cols>
  <sheetData>
    <row r="1" spans="1:23" ht="15.75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297"/>
      <c r="P1" s="399"/>
      <c r="Q1" s="399"/>
      <c r="R1" s="399"/>
      <c r="S1" s="399"/>
      <c r="T1" s="399"/>
      <c r="U1" s="399"/>
      <c r="V1" s="399"/>
      <c r="W1" s="404" t="s">
        <v>475</v>
      </c>
    </row>
    <row r="2" spans="1:24" ht="15.75" customHeight="1">
      <c r="A2" s="402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297"/>
      <c r="P2" s="399"/>
      <c r="Q2" s="399"/>
      <c r="R2" s="399"/>
      <c r="S2" s="399"/>
      <c r="T2" s="399"/>
      <c r="U2" s="693" t="s">
        <v>39</v>
      </c>
      <c r="V2" s="693"/>
      <c r="W2" s="693"/>
      <c r="X2" s="156"/>
    </row>
    <row r="3" spans="1:24" ht="12.75" customHeigh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297"/>
      <c r="P3" s="399"/>
      <c r="Q3" s="399"/>
      <c r="R3" s="399"/>
      <c r="S3" s="399"/>
      <c r="T3" s="399"/>
      <c r="U3" s="694" t="s">
        <v>40</v>
      </c>
      <c r="V3" s="694"/>
      <c r="W3" s="694"/>
      <c r="X3" s="8"/>
    </row>
    <row r="4" spans="1:24" ht="15.75">
      <c r="A4" s="402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297"/>
      <c r="P4" s="399"/>
      <c r="Q4" s="399"/>
      <c r="R4" s="399"/>
      <c r="S4" s="399"/>
      <c r="T4" s="399"/>
      <c r="U4" s="694" t="s">
        <v>41</v>
      </c>
      <c r="V4" s="694"/>
      <c r="W4" s="694"/>
      <c r="X4" s="9"/>
    </row>
    <row r="5" spans="1:23" ht="15.75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297"/>
      <c r="P5" s="399"/>
      <c r="Q5" s="399"/>
      <c r="R5" s="399"/>
      <c r="S5" s="399"/>
      <c r="T5" s="399"/>
      <c r="U5" s="462"/>
      <c r="V5" s="462"/>
      <c r="W5" s="462"/>
    </row>
    <row r="6" spans="1:23" ht="15.75">
      <c r="A6" s="399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P6" s="399"/>
      <c r="Q6" s="399"/>
      <c r="R6" s="399"/>
      <c r="S6" s="399"/>
      <c r="T6" s="399"/>
      <c r="U6" s="399"/>
      <c r="V6" s="399"/>
      <c r="W6" s="399"/>
    </row>
    <row r="7" spans="1:23" ht="15.75">
      <c r="A7" s="399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P7" s="399"/>
      <c r="Q7" s="399"/>
      <c r="R7" s="399"/>
      <c r="S7" s="399"/>
      <c r="T7" s="399"/>
      <c r="U7" s="399"/>
      <c r="V7" s="399"/>
      <c r="W7" s="399"/>
    </row>
    <row r="8" spans="1:23" ht="15.75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297"/>
      <c r="P8" s="399"/>
      <c r="Q8" s="399"/>
      <c r="R8" s="399"/>
      <c r="S8" s="399"/>
      <c r="T8" s="399"/>
      <c r="U8" s="399"/>
      <c r="V8" s="399"/>
      <c r="W8" s="462"/>
    </row>
    <row r="9" spans="1:23" ht="15.75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297"/>
      <c r="P9" s="678" t="s">
        <v>43</v>
      </c>
      <c r="Q9" s="678"/>
      <c r="R9" s="678"/>
      <c r="S9" s="678"/>
      <c r="T9" s="678"/>
      <c r="U9" s="678"/>
      <c r="V9" s="678"/>
      <c r="W9" s="678"/>
    </row>
    <row r="10" spans="1:23" ht="12.75" customHeight="1">
      <c r="A10" s="399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P10" s="684" t="s">
        <v>44</v>
      </c>
      <c r="Q10" s="684"/>
      <c r="R10" s="684"/>
      <c r="S10" s="684"/>
      <c r="T10" s="684"/>
      <c r="U10" s="684"/>
      <c r="V10" s="684"/>
      <c r="W10" s="684"/>
    </row>
    <row r="11" spans="1:23" ht="12.75" customHeight="1">
      <c r="A11" s="399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P11" s="684" t="s">
        <v>45</v>
      </c>
      <c r="Q11" s="684"/>
      <c r="R11" s="684"/>
      <c r="S11" s="684"/>
      <c r="T11" s="684"/>
      <c r="U11" s="684"/>
      <c r="V11" s="684"/>
      <c r="W11" s="684"/>
    </row>
    <row r="12" spans="1:23" ht="12.75" customHeight="1">
      <c r="A12" s="399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P12" s="463"/>
      <c r="Q12" s="463"/>
      <c r="R12" s="463"/>
      <c r="S12" s="463"/>
      <c r="T12" s="463"/>
      <c r="U12" s="649" t="s">
        <v>451</v>
      </c>
      <c r="V12" s="649"/>
      <c r="W12" s="649"/>
    </row>
    <row r="13" spans="1:23" ht="15.75">
      <c r="A13" s="402"/>
      <c r="B13" s="403"/>
      <c r="C13" s="405"/>
      <c r="D13" s="405"/>
      <c r="E13" s="405"/>
      <c r="F13" s="405"/>
      <c r="G13" s="403"/>
      <c r="H13" s="403"/>
      <c r="I13" s="403"/>
      <c r="J13" s="403"/>
      <c r="K13" s="403"/>
      <c r="L13" s="403"/>
      <c r="M13" s="403"/>
      <c r="N13" s="403"/>
      <c r="O13" s="297"/>
      <c r="P13" s="399"/>
      <c r="Q13" s="404"/>
      <c r="R13" s="404"/>
      <c r="S13" s="404"/>
      <c r="T13" s="404"/>
      <c r="U13" s="404"/>
      <c r="V13" s="695"/>
      <c r="W13" s="695"/>
    </row>
    <row r="14" spans="1:23" ht="15.75">
      <c r="A14" s="399"/>
      <c r="B14" s="403"/>
      <c r="C14" s="403"/>
      <c r="D14" s="403"/>
      <c r="E14" s="405"/>
      <c r="F14" s="405"/>
      <c r="G14" s="403"/>
      <c r="H14" s="403"/>
      <c r="I14" s="403"/>
      <c r="J14" s="403"/>
      <c r="K14" s="403"/>
      <c r="L14" s="403"/>
      <c r="M14" s="403"/>
      <c r="N14" s="403"/>
      <c r="W14" s="464"/>
    </row>
    <row r="15" spans="1:23" ht="15.75">
      <c r="A15" s="399"/>
      <c r="B15" s="403"/>
      <c r="C15" s="403"/>
      <c r="D15" s="403"/>
      <c r="E15" s="405"/>
      <c r="F15" s="405"/>
      <c r="G15" s="403"/>
      <c r="H15" s="403"/>
      <c r="I15" s="403"/>
      <c r="J15" s="403"/>
      <c r="K15" s="403"/>
      <c r="L15" s="403"/>
      <c r="M15" s="403"/>
      <c r="N15" s="403"/>
      <c r="W15" s="464"/>
    </row>
    <row r="16" spans="1:23" ht="12.75" customHeight="1">
      <c r="A16" s="679" t="s">
        <v>496</v>
      </c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</row>
    <row r="17" spans="1:29" ht="12.75" customHeight="1">
      <c r="A17" s="406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</row>
    <row r="18" spans="1:23" ht="16.5" thickBot="1">
      <c r="A18" s="399"/>
      <c r="B18" s="400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W18" s="464"/>
    </row>
    <row r="19" spans="1:23" ht="12.75" customHeight="1" thickBot="1">
      <c r="A19" s="680" t="s">
        <v>48</v>
      </c>
      <c r="B19" s="681" t="s">
        <v>49</v>
      </c>
      <c r="C19" s="682" t="s">
        <v>476</v>
      </c>
      <c r="D19" s="683" t="s">
        <v>497</v>
      </c>
      <c r="E19" s="683"/>
      <c r="F19" s="683"/>
      <c r="G19" s="683"/>
      <c r="H19" s="683"/>
      <c r="I19" s="683"/>
      <c r="J19" s="683"/>
      <c r="K19" s="683"/>
      <c r="L19" s="683"/>
      <c r="M19" s="683"/>
      <c r="N19" s="682" t="s">
        <v>477</v>
      </c>
      <c r="O19" s="683" t="s">
        <v>478</v>
      </c>
      <c r="P19" s="683"/>
      <c r="Q19" s="683"/>
      <c r="R19" s="683"/>
      <c r="S19" s="687" t="s">
        <v>479</v>
      </c>
      <c r="T19" s="688"/>
      <c r="U19" s="688"/>
      <c r="V19" s="689"/>
      <c r="W19" s="686" t="s">
        <v>480</v>
      </c>
    </row>
    <row r="20" spans="1:23" ht="12.75" customHeight="1" thickBot="1">
      <c r="A20" s="680"/>
      <c r="B20" s="681"/>
      <c r="C20" s="682"/>
      <c r="D20" s="648" t="s">
        <v>481</v>
      </c>
      <c r="E20" s="648"/>
      <c r="F20" s="648" t="s">
        <v>482</v>
      </c>
      <c r="G20" s="648"/>
      <c r="H20" s="648" t="s">
        <v>483</v>
      </c>
      <c r="I20" s="648"/>
      <c r="J20" s="685" t="s">
        <v>484</v>
      </c>
      <c r="K20" s="685"/>
      <c r="L20" s="648" t="s">
        <v>485</v>
      </c>
      <c r="M20" s="648"/>
      <c r="N20" s="682"/>
      <c r="O20" s="648" t="s">
        <v>70</v>
      </c>
      <c r="P20" s="648" t="s">
        <v>486</v>
      </c>
      <c r="Q20" s="648" t="s">
        <v>487</v>
      </c>
      <c r="R20" s="648"/>
      <c r="S20" s="690" t="s">
        <v>498</v>
      </c>
      <c r="T20" s="691"/>
      <c r="U20" s="691"/>
      <c r="V20" s="692"/>
      <c r="W20" s="686"/>
    </row>
    <row r="21" spans="1:23" ht="12.75" customHeight="1" thickBot="1">
      <c r="A21" s="680"/>
      <c r="B21" s="681"/>
      <c r="C21" s="682"/>
      <c r="D21" s="648" t="s">
        <v>488</v>
      </c>
      <c r="E21" s="685" t="s">
        <v>489</v>
      </c>
      <c r="F21" s="648" t="s">
        <v>490</v>
      </c>
      <c r="G21" s="648" t="s">
        <v>491</v>
      </c>
      <c r="H21" s="648" t="s">
        <v>490</v>
      </c>
      <c r="I21" s="648" t="s">
        <v>491</v>
      </c>
      <c r="J21" s="685" t="s">
        <v>490</v>
      </c>
      <c r="K21" s="685" t="s">
        <v>491</v>
      </c>
      <c r="L21" s="648" t="s">
        <v>490</v>
      </c>
      <c r="M21" s="648" t="s">
        <v>491</v>
      </c>
      <c r="N21" s="682"/>
      <c r="O21" s="648"/>
      <c r="P21" s="648"/>
      <c r="Q21" s="648" t="s">
        <v>492</v>
      </c>
      <c r="R21" s="648" t="s">
        <v>493</v>
      </c>
      <c r="S21" s="648" t="s">
        <v>494</v>
      </c>
      <c r="T21" s="648"/>
      <c r="U21" s="648" t="s">
        <v>491</v>
      </c>
      <c r="V21" s="648"/>
      <c r="W21" s="686"/>
    </row>
    <row r="22" spans="1:23" ht="55.5" customHeight="1">
      <c r="A22" s="680"/>
      <c r="B22" s="681"/>
      <c r="C22" s="682"/>
      <c r="D22" s="648"/>
      <c r="E22" s="685"/>
      <c r="F22" s="648"/>
      <c r="G22" s="648"/>
      <c r="H22" s="648"/>
      <c r="I22" s="648"/>
      <c r="J22" s="685"/>
      <c r="K22" s="685"/>
      <c r="L22" s="648"/>
      <c r="M22" s="648"/>
      <c r="N22" s="682"/>
      <c r="O22" s="648"/>
      <c r="P22" s="648"/>
      <c r="Q22" s="648"/>
      <c r="R22" s="648"/>
      <c r="S22" s="444" t="s">
        <v>68</v>
      </c>
      <c r="T22" s="444" t="s">
        <v>69</v>
      </c>
      <c r="U22" s="444" t="s">
        <v>68</v>
      </c>
      <c r="V22" s="444" t="s">
        <v>69</v>
      </c>
      <c r="W22" s="466"/>
    </row>
    <row r="23" spans="1:24" s="100" customFormat="1" ht="15.75">
      <c r="A23" s="408"/>
      <c r="B23" s="409" t="s">
        <v>71</v>
      </c>
      <c r="C23" s="410">
        <f>C24+C64+C68</f>
        <v>108.25514</v>
      </c>
      <c r="D23" s="410">
        <f>D24+D64+D68</f>
        <v>108.3473</v>
      </c>
      <c r="E23" s="410">
        <f>E24+E64+E68</f>
        <v>108.25514</v>
      </c>
      <c r="F23" s="410">
        <f aca="true" t="shared" si="0" ref="F23:K23">F24+F57+F68</f>
        <v>23.235</v>
      </c>
      <c r="G23" s="410">
        <f t="shared" si="0"/>
        <v>25.67</v>
      </c>
      <c r="H23" s="410">
        <f t="shared" si="0"/>
        <v>16.762999999999998</v>
      </c>
      <c r="I23" s="410">
        <f t="shared" si="0"/>
        <v>15.662799999999999</v>
      </c>
      <c r="J23" s="410">
        <f t="shared" si="0"/>
        <v>35.140299999999996</v>
      </c>
      <c r="K23" s="410">
        <f t="shared" si="0"/>
        <v>32.570339999999995</v>
      </c>
      <c r="L23" s="410">
        <f>L24+L64+L68</f>
        <v>33.2</v>
      </c>
      <c r="M23" s="410">
        <f>M24+M64+M68</f>
        <v>34.354</v>
      </c>
      <c r="N23" s="410">
        <f>N24+N64+N68</f>
        <v>0</v>
      </c>
      <c r="O23" s="411">
        <f>E23-D23</f>
        <v>-0.0921600000000069</v>
      </c>
      <c r="P23" s="412">
        <f>O23/D23*100</f>
        <v>-0.08505980305924273</v>
      </c>
      <c r="Q23" s="410">
        <f>Q24+Q64</f>
        <v>0</v>
      </c>
      <c r="R23" s="413"/>
      <c r="S23" s="410">
        <f>S24+S64</f>
        <v>55.93</v>
      </c>
      <c r="T23" s="410">
        <f>T24+T64</f>
        <v>4.58</v>
      </c>
      <c r="U23" s="410">
        <f>U24+U64</f>
        <v>57.61</v>
      </c>
      <c r="V23" s="410">
        <f>V24+V64</f>
        <v>1.26</v>
      </c>
      <c r="W23" s="467"/>
      <c r="X23" s="402"/>
    </row>
    <row r="24" spans="1:24" s="4" customFormat="1" ht="39" customHeight="1">
      <c r="A24" s="468" t="s">
        <v>72</v>
      </c>
      <c r="B24" s="469" t="s">
        <v>73</v>
      </c>
      <c r="C24" s="470">
        <f aca="true" t="shared" si="1" ref="C24:Q24">C25</f>
        <v>98.61514</v>
      </c>
      <c r="D24" s="470">
        <f t="shared" si="1"/>
        <v>94.8973</v>
      </c>
      <c r="E24" s="470">
        <f t="shared" si="1"/>
        <v>98.61514</v>
      </c>
      <c r="F24" s="470">
        <f t="shared" si="1"/>
        <v>23.235</v>
      </c>
      <c r="G24" s="470">
        <f t="shared" si="1"/>
        <v>25.67</v>
      </c>
      <c r="H24" s="470">
        <f t="shared" si="1"/>
        <v>16.762999999999998</v>
      </c>
      <c r="I24" s="470">
        <f t="shared" si="1"/>
        <v>15.662799999999999</v>
      </c>
      <c r="J24" s="470">
        <f t="shared" si="1"/>
        <v>25.6803</v>
      </c>
      <c r="K24" s="470">
        <f t="shared" si="1"/>
        <v>26.920339999999996</v>
      </c>
      <c r="L24" s="470">
        <f t="shared" si="1"/>
        <v>29.21</v>
      </c>
      <c r="M24" s="470">
        <f t="shared" si="1"/>
        <v>30.363999999999997</v>
      </c>
      <c r="N24" s="470">
        <f t="shared" si="1"/>
        <v>0</v>
      </c>
      <c r="O24" s="470">
        <f t="shared" si="1"/>
        <v>3.7178399999999954</v>
      </c>
      <c r="P24" s="470">
        <f t="shared" si="1"/>
        <v>3.91775108459355</v>
      </c>
      <c r="Q24" s="470">
        <f t="shared" si="1"/>
        <v>0</v>
      </c>
      <c r="R24" s="412"/>
      <c r="S24" s="470">
        <f>S25</f>
        <v>55.93</v>
      </c>
      <c r="T24" s="470">
        <f>T25</f>
        <v>0.4</v>
      </c>
      <c r="U24" s="470">
        <f>U25</f>
        <v>57.61</v>
      </c>
      <c r="V24" s="470">
        <f>V25</f>
        <v>0.48</v>
      </c>
      <c r="W24" s="471"/>
      <c r="X24" s="401"/>
    </row>
    <row r="25" spans="1:23" ht="38.25">
      <c r="A25" s="414" t="s">
        <v>74</v>
      </c>
      <c r="B25" s="415" t="s">
        <v>75</v>
      </c>
      <c r="C25" s="416">
        <f>SUM(C26:C50)</f>
        <v>98.61514</v>
      </c>
      <c r="D25" s="416">
        <f>SUM(D26:D50)</f>
        <v>94.8973</v>
      </c>
      <c r="E25" s="416">
        <f>SUM(E26:E50)</f>
        <v>98.61514</v>
      </c>
      <c r="F25" s="416">
        <f>F27+F49</f>
        <v>23.235</v>
      </c>
      <c r="G25" s="416">
        <f aca="true" t="shared" si="2" ref="G25:M25">SUM(G26:G50)</f>
        <v>25.67</v>
      </c>
      <c r="H25" s="416">
        <f t="shared" si="2"/>
        <v>16.762999999999998</v>
      </c>
      <c r="I25" s="416">
        <f t="shared" si="2"/>
        <v>15.662799999999999</v>
      </c>
      <c r="J25" s="416">
        <f t="shared" si="2"/>
        <v>25.6803</v>
      </c>
      <c r="K25" s="416">
        <f t="shared" si="2"/>
        <v>26.920339999999996</v>
      </c>
      <c r="L25" s="416">
        <f t="shared" si="2"/>
        <v>29.21</v>
      </c>
      <c r="M25" s="416">
        <f t="shared" si="2"/>
        <v>30.363999999999997</v>
      </c>
      <c r="N25" s="472">
        <f aca="true" t="shared" si="3" ref="N25:N50">C25-E25</f>
        <v>0</v>
      </c>
      <c r="O25" s="417">
        <f aca="true" t="shared" si="4" ref="O25:O50">E25-D25</f>
        <v>3.7178399999999954</v>
      </c>
      <c r="P25" s="418">
        <f>O25/D25*100</f>
        <v>3.91775108459355</v>
      </c>
      <c r="Q25" s="472">
        <f>SUM(Q26:Q49)</f>
        <v>0</v>
      </c>
      <c r="R25" s="416"/>
      <c r="S25" s="416">
        <f>SUM(S26:S49)</f>
        <v>55.93</v>
      </c>
      <c r="T25" s="416">
        <f>SUM(T26:T49)</f>
        <v>0.4</v>
      </c>
      <c r="U25" s="416">
        <f>SUM(U26:U49)</f>
        <v>57.61</v>
      </c>
      <c r="V25" s="416">
        <f>SUM(V26:V49)</f>
        <v>0.48</v>
      </c>
      <c r="W25" s="473"/>
    </row>
    <row r="26" spans="1:23" s="2" customFormat="1" ht="43.5" customHeight="1">
      <c r="A26" s="474" t="s">
        <v>79</v>
      </c>
      <c r="B26" s="419" t="s">
        <v>80</v>
      </c>
      <c r="C26" s="421">
        <v>1.73</v>
      </c>
      <c r="D26" s="422">
        <v>1.734</v>
      </c>
      <c r="E26" s="421">
        <v>1.73</v>
      </c>
      <c r="F26" s="421"/>
      <c r="G26" s="421"/>
      <c r="H26" s="421">
        <v>1.725</v>
      </c>
      <c r="I26" s="421">
        <f>E26</f>
        <v>1.73</v>
      </c>
      <c r="J26" s="421"/>
      <c r="K26" s="421"/>
      <c r="L26" s="421"/>
      <c r="M26" s="421"/>
      <c r="N26" s="423">
        <f t="shared" si="3"/>
        <v>0</v>
      </c>
      <c r="O26" s="423">
        <f t="shared" si="4"/>
        <v>-0.0040000000000000036</v>
      </c>
      <c r="P26" s="421">
        <v>0</v>
      </c>
      <c r="Q26" s="421">
        <f aca="true" t="shared" si="5" ref="Q26:Q50">N26</f>
        <v>0</v>
      </c>
      <c r="R26" s="421"/>
      <c r="S26" s="421"/>
      <c r="T26" s="407"/>
      <c r="U26" s="407"/>
      <c r="V26" s="455">
        <v>0</v>
      </c>
      <c r="W26" s="466" t="s">
        <v>499</v>
      </c>
    </row>
    <row r="27" spans="1:23" s="2" customFormat="1" ht="45.75" customHeight="1">
      <c r="A27" s="474" t="s">
        <v>81</v>
      </c>
      <c r="B27" s="427" t="s">
        <v>495</v>
      </c>
      <c r="C27" s="421">
        <f>E27</f>
        <v>16.7</v>
      </c>
      <c r="D27" s="422">
        <f aca="true" t="shared" si="6" ref="D27:D43">F27+H27+J27+L27</f>
        <v>14.265</v>
      </c>
      <c r="E27" s="422">
        <f>G27+I27+K27+M27</f>
        <v>16.7</v>
      </c>
      <c r="F27" s="421">
        <v>14.265</v>
      </c>
      <c r="G27" s="421">
        <f>14.27+2.43</f>
        <v>16.7</v>
      </c>
      <c r="H27" s="421"/>
      <c r="I27" s="421"/>
      <c r="J27" s="421"/>
      <c r="K27" s="421"/>
      <c r="L27" s="421"/>
      <c r="M27" s="421"/>
      <c r="N27" s="423">
        <f t="shared" si="3"/>
        <v>0</v>
      </c>
      <c r="O27" s="423">
        <f t="shared" si="4"/>
        <v>2.4349999999999987</v>
      </c>
      <c r="P27" s="421">
        <v>0</v>
      </c>
      <c r="Q27" s="421">
        <f t="shared" si="5"/>
        <v>0</v>
      </c>
      <c r="R27" s="421"/>
      <c r="S27" s="421"/>
      <c r="T27" s="407"/>
      <c r="U27" s="407"/>
      <c r="V27" s="455">
        <v>0</v>
      </c>
      <c r="W27" s="466" t="s">
        <v>499</v>
      </c>
    </row>
    <row r="28" spans="1:23" s="2" customFormat="1" ht="68.25" customHeight="1">
      <c r="A28" s="474" t="s">
        <v>89</v>
      </c>
      <c r="B28" s="427" t="s">
        <v>500</v>
      </c>
      <c r="C28" s="421">
        <f aca="true" t="shared" si="7" ref="C28:C42">E28</f>
        <v>0.83426</v>
      </c>
      <c r="D28" s="422">
        <f t="shared" si="6"/>
        <v>0.8253</v>
      </c>
      <c r="E28" s="422">
        <f>'[1]приложение 1.1'!V125</f>
        <v>0.83426</v>
      </c>
      <c r="F28" s="421"/>
      <c r="G28" s="421"/>
      <c r="H28" s="421"/>
      <c r="I28" s="421"/>
      <c r="J28" s="421">
        <v>0.8253</v>
      </c>
      <c r="K28" s="421">
        <f>E28</f>
        <v>0.83426</v>
      </c>
      <c r="L28" s="421"/>
      <c r="M28" s="421"/>
      <c r="N28" s="423">
        <f t="shared" si="3"/>
        <v>0</v>
      </c>
      <c r="O28" s="423">
        <f t="shared" si="4"/>
        <v>0.008959999999999968</v>
      </c>
      <c r="P28" s="421">
        <f>O28/D28*100</f>
        <v>1.085665818490242</v>
      </c>
      <c r="Q28" s="421">
        <f t="shared" si="5"/>
        <v>0</v>
      </c>
      <c r="R28" s="421"/>
      <c r="S28" s="421"/>
      <c r="T28" s="455">
        <v>0.1</v>
      </c>
      <c r="U28" s="455"/>
      <c r="V28" s="475">
        <v>0.135</v>
      </c>
      <c r="W28" s="471" t="s">
        <v>501</v>
      </c>
    </row>
    <row r="29" spans="1:23" s="2" customFormat="1" ht="57" customHeight="1">
      <c r="A29" s="474" t="s">
        <v>91</v>
      </c>
      <c r="B29" s="427" t="s">
        <v>300</v>
      </c>
      <c r="C29" s="421">
        <f t="shared" si="7"/>
        <v>0.49560000000000004</v>
      </c>
      <c r="D29" s="422">
        <f t="shared" si="6"/>
        <v>0.495</v>
      </c>
      <c r="E29" s="422">
        <f>'[1]приложение 1.1'!V127</f>
        <v>0.49560000000000004</v>
      </c>
      <c r="F29" s="421"/>
      <c r="G29" s="421"/>
      <c r="H29" s="421"/>
      <c r="I29" s="421"/>
      <c r="J29" s="421">
        <v>0.495</v>
      </c>
      <c r="K29" s="421">
        <f>E29</f>
        <v>0.49560000000000004</v>
      </c>
      <c r="L29" s="421"/>
      <c r="M29" s="421"/>
      <c r="N29" s="423">
        <f t="shared" si="3"/>
        <v>0</v>
      </c>
      <c r="O29" s="423">
        <f t="shared" si="4"/>
        <v>0.0006000000000000449</v>
      </c>
      <c r="P29" s="421">
        <f>O29/D29*100</f>
        <v>0.12121212121213029</v>
      </c>
      <c r="Q29" s="421">
        <f t="shared" si="5"/>
        <v>0</v>
      </c>
      <c r="R29" s="421"/>
      <c r="S29" s="425"/>
      <c r="T29" s="455">
        <v>0.2</v>
      </c>
      <c r="U29" s="455"/>
      <c r="V29" s="407">
        <v>0.2</v>
      </c>
      <c r="W29" s="471" t="s">
        <v>501</v>
      </c>
    </row>
    <row r="30" spans="1:23" s="2" customFormat="1" ht="61.5" customHeight="1">
      <c r="A30" s="474" t="s">
        <v>93</v>
      </c>
      <c r="B30" s="427" t="s">
        <v>502</v>
      </c>
      <c r="C30" s="421">
        <f t="shared" si="7"/>
        <v>0.6962</v>
      </c>
      <c r="D30" s="422">
        <f t="shared" si="6"/>
        <v>0.7</v>
      </c>
      <c r="E30" s="422">
        <f>'[1]приложение 1.1'!V126</f>
        <v>0.6962</v>
      </c>
      <c r="F30" s="421"/>
      <c r="G30" s="421"/>
      <c r="H30" s="421"/>
      <c r="I30" s="421"/>
      <c r="J30" s="421">
        <v>0.7</v>
      </c>
      <c r="K30" s="421">
        <f>E30</f>
        <v>0.6962</v>
      </c>
      <c r="L30" s="421"/>
      <c r="M30" s="421"/>
      <c r="N30" s="423">
        <f t="shared" si="3"/>
        <v>0</v>
      </c>
      <c r="O30" s="423">
        <f t="shared" si="4"/>
        <v>-0.0037999999999999146</v>
      </c>
      <c r="P30" s="421">
        <f>O30/D30*100</f>
        <v>-0.5428571428571307</v>
      </c>
      <c r="Q30" s="421">
        <f t="shared" si="5"/>
        <v>0</v>
      </c>
      <c r="R30" s="421"/>
      <c r="S30" s="425"/>
      <c r="T30" s="455">
        <v>0.1</v>
      </c>
      <c r="U30" s="455"/>
      <c r="V30" s="476">
        <v>0.145</v>
      </c>
      <c r="W30" s="471" t="s">
        <v>501</v>
      </c>
    </row>
    <row r="31" spans="1:23" s="2" customFormat="1" ht="61.5" customHeight="1">
      <c r="A31" s="474" t="s">
        <v>107</v>
      </c>
      <c r="B31" s="427" t="s">
        <v>188</v>
      </c>
      <c r="C31" s="421">
        <f>E31</f>
        <v>1.24</v>
      </c>
      <c r="D31" s="422">
        <f>F31+H31+J31+L31</f>
        <v>0</v>
      </c>
      <c r="E31" s="422">
        <f>G31+I31+K31+M31</f>
        <v>1.24</v>
      </c>
      <c r="F31" s="421"/>
      <c r="G31" s="421"/>
      <c r="H31" s="421"/>
      <c r="I31" s="421"/>
      <c r="J31" s="421">
        <v>0</v>
      </c>
      <c r="K31" s="421">
        <v>1.24</v>
      </c>
      <c r="L31" s="421"/>
      <c r="M31" s="421"/>
      <c r="N31" s="423">
        <f>C31-E31</f>
        <v>0</v>
      </c>
      <c r="O31" s="423">
        <f>E31-D31</f>
        <v>1.24</v>
      </c>
      <c r="P31" s="421">
        <v>0</v>
      </c>
      <c r="Q31" s="421">
        <f>N31</f>
        <v>0</v>
      </c>
      <c r="R31" s="421"/>
      <c r="S31" s="425">
        <v>0</v>
      </c>
      <c r="T31" s="455"/>
      <c r="U31" s="455">
        <v>2</v>
      </c>
      <c r="V31" s="476"/>
      <c r="W31" s="471" t="s">
        <v>499</v>
      </c>
    </row>
    <row r="32" spans="1:23" s="2" customFormat="1" ht="38.25">
      <c r="A32" s="474" t="s">
        <v>109</v>
      </c>
      <c r="B32" s="427" t="s">
        <v>204</v>
      </c>
      <c r="C32" s="421">
        <f t="shared" si="7"/>
        <v>0.4366</v>
      </c>
      <c r="D32" s="422">
        <f t="shared" si="6"/>
        <v>0.44</v>
      </c>
      <c r="E32" s="422">
        <f>'[1]приложение 1.1'!V77</f>
        <v>0.4366</v>
      </c>
      <c r="F32" s="421"/>
      <c r="G32" s="421"/>
      <c r="H32" s="421"/>
      <c r="I32" s="421"/>
      <c r="J32" s="421">
        <v>0.44</v>
      </c>
      <c r="K32" s="421">
        <f>E32</f>
        <v>0.4366</v>
      </c>
      <c r="L32" s="421"/>
      <c r="M32" s="421"/>
      <c r="N32" s="423">
        <f t="shared" si="3"/>
        <v>0</v>
      </c>
      <c r="O32" s="423">
        <f t="shared" si="4"/>
        <v>-0.003400000000000014</v>
      </c>
      <c r="P32" s="421">
        <v>0</v>
      </c>
      <c r="Q32" s="421">
        <f t="shared" si="5"/>
        <v>0</v>
      </c>
      <c r="R32" s="421"/>
      <c r="S32" s="424">
        <v>2</v>
      </c>
      <c r="T32" s="407"/>
      <c r="U32" s="455">
        <v>2</v>
      </c>
      <c r="V32" s="455"/>
      <c r="W32" s="466" t="s">
        <v>499</v>
      </c>
    </row>
    <row r="33" spans="1:23" s="2" customFormat="1" ht="38.25">
      <c r="A33" s="474" t="s">
        <v>111</v>
      </c>
      <c r="B33" s="427" t="s">
        <v>206</v>
      </c>
      <c r="C33" s="421">
        <f t="shared" si="7"/>
        <v>1.97</v>
      </c>
      <c r="D33" s="422">
        <f t="shared" si="6"/>
        <v>2.155</v>
      </c>
      <c r="E33" s="422">
        <f>M33</f>
        <v>1.97</v>
      </c>
      <c r="F33" s="421"/>
      <c r="G33" s="421"/>
      <c r="H33" s="421"/>
      <c r="I33" s="421"/>
      <c r="J33" s="421"/>
      <c r="K33" s="421"/>
      <c r="L33" s="421">
        <v>2.155</v>
      </c>
      <c r="M33" s="421">
        <v>1.97</v>
      </c>
      <c r="N33" s="423">
        <f t="shared" si="3"/>
        <v>0</v>
      </c>
      <c r="O33" s="423">
        <f t="shared" si="4"/>
        <v>-0.18499999999999983</v>
      </c>
      <c r="P33" s="421">
        <v>0</v>
      </c>
      <c r="Q33" s="421">
        <f t="shared" si="5"/>
        <v>0</v>
      </c>
      <c r="R33" s="421"/>
      <c r="S33" s="424">
        <v>2</v>
      </c>
      <c r="T33" s="407"/>
      <c r="U33" s="455">
        <v>2</v>
      </c>
      <c r="V33" s="455"/>
      <c r="W33" s="466" t="s">
        <v>499</v>
      </c>
    </row>
    <row r="34" spans="1:23" s="2" customFormat="1" ht="84.75" customHeight="1">
      <c r="A34" s="474" t="s">
        <v>113</v>
      </c>
      <c r="B34" s="427" t="s">
        <v>212</v>
      </c>
      <c r="C34" s="421">
        <f t="shared" si="7"/>
        <v>1.9588</v>
      </c>
      <c r="D34" s="422">
        <f t="shared" si="6"/>
        <v>1.955</v>
      </c>
      <c r="E34" s="422">
        <f>'[1]приложение 1.1'!V81</f>
        <v>1.9588</v>
      </c>
      <c r="F34" s="421"/>
      <c r="G34" s="421"/>
      <c r="H34" s="421"/>
      <c r="I34" s="421"/>
      <c r="J34" s="421"/>
      <c r="K34" s="421"/>
      <c r="L34" s="421">
        <v>1.955</v>
      </c>
      <c r="M34" s="421">
        <f>E34</f>
        <v>1.9588</v>
      </c>
      <c r="N34" s="423">
        <f t="shared" si="3"/>
        <v>0</v>
      </c>
      <c r="O34" s="423">
        <f t="shared" si="4"/>
        <v>0.0038000000000000256</v>
      </c>
      <c r="P34" s="421">
        <v>0</v>
      </c>
      <c r="Q34" s="421">
        <f t="shared" si="5"/>
        <v>0</v>
      </c>
      <c r="R34" s="421"/>
      <c r="S34" s="424">
        <v>2</v>
      </c>
      <c r="T34" s="407"/>
      <c r="U34" s="477">
        <v>2</v>
      </c>
      <c r="V34" s="455"/>
      <c r="W34" s="466" t="s">
        <v>499</v>
      </c>
    </row>
    <row r="35" spans="1:23" s="2" customFormat="1" ht="84.75" customHeight="1">
      <c r="A35" s="474" t="s">
        <v>115</v>
      </c>
      <c r="B35" s="427" t="s">
        <v>218</v>
      </c>
      <c r="C35" s="421">
        <f t="shared" si="7"/>
        <v>1.15</v>
      </c>
      <c r="D35" s="422">
        <f t="shared" si="6"/>
        <v>0.195</v>
      </c>
      <c r="E35" s="422">
        <v>1.15</v>
      </c>
      <c r="F35" s="421"/>
      <c r="G35" s="421"/>
      <c r="H35" s="421">
        <v>0.195</v>
      </c>
      <c r="I35" s="421">
        <v>1.15</v>
      </c>
      <c r="J35" s="421"/>
      <c r="K35" s="421"/>
      <c r="L35" s="421"/>
      <c r="M35" s="421"/>
      <c r="N35" s="423">
        <f t="shared" si="3"/>
        <v>0</v>
      </c>
      <c r="O35" s="423">
        <f t="shared" si="4"/>
        <v>0.9549999999999998</v>
      </c>
      <c r="P35" s="421">
        <v>0</v>
      </c>
      <c r="Q35" s="421">
        <f t="shared" si="5"/>
        <v>0</v>
      </c>
      <c r="R35" s="421"/>
      <c r="S35" s="424">
        <v>0</v>
      </c>
      <c r="T35" s="407"/>
      <c r="U35" s="477">
        <v>0</v>
      </c>
      <c r="V35" s="455"/>
      <c r="W35" s="466" t="s">
        <v>499</v>
      </c>
    </row>
    <row r="36" spans="1:23" s="2" customFormat="1" ht="92.25" customHeight="1">
      <c r="A36" s="474" t="s">
        <v>117</v>
      </c>
      <c r="B36" s="427" t="s">
        <v>220</v>
      </c>
      <c r="C36" s="421">
        <f t="shared" si="7"/>
        <v>0</v>
      </c>
      <c r="D36" s="422">
        <f t="shared" si="6"/>
        <v>0.2</v>
      </c>
      <c r="E36" s="422">
        <v>0</v>
      </c>
      <c r="F36" s="421"/>
      <c r="G36" s="421"/>
      <c r="H36" s="421">
        <v>0.2</v>
      </c>
      <c r="I36" s="421">
        <v>0</v>
      </c>
      <c r="J36" s="421"/>
      <c r="K36" s="421"/>
      <c r="L36" s="421"/>
      <c r="M36" s="421"/>
      <c r="N36" s="423">
        <f t="shared" si="3"/>
        <v>0</v>
      </c>
      <c r="O36" s="423">
        <f t="shared" si="4"/>
        <v>-0.2</v>
      </c>
      <c r="P36" s="421">
        <v>0</v>
      </c>
      <c r="Q36" s="421">
        <f t="shared" si="5"/>
        <v>0</v>
      </c>
      <c r="R36" s="421"/>
      <c r="S36" s="424">
        <v>0.32</v>
      </c>
      <c r="T36" s="407"/>
      <c r="U36" s="477">
        <v>0</v>
      </c>
      <c r="V36" s="455"/>
      <c r="W36" s="466" t="s">
        <v>499</v>
      </c>
    </row>
    <row r="37" spans="1:23" s="2" customFormat="1" ht="38.25">
      <c r="A37" s="474" t="s">
        <v>125</v>
      </c>
      <c r="B37" s="427" t="s">
        <v>226</v>
      </c>
      <c r="C37" s="421">
        <f t="shared" si="7"/>
        <v>0.7788</v>
      </c>
      <c r="D37" s="422">
        <f t="shared" si="6"/>
        <v>0.78</v>
      </c>
      <c r="E37" s="422">
        <f>'[1]приложение 1.1'!V88</f>
        <v>0.7788</v>
      </c>
      <c r="F37" s="421"/>
      <c r="G37" s="421"/>
      <c r="H37" s="421">
        <v>0.78</v>
      </c>
      <c r="I37" s="421">
        <f>E37</f>
        <v>0.7788</v>
      </c>
      <c r="J37" s="421"/>
      <c r="K37" s="421"/>
      <c r="L37" s="421"/>
      <c r="M37" s="421"/>
      <c r="N37" s="423">
        <f t="shared" si="3"/>
        <v>0</v>
      </c>
      <c r="O37" s="423">
        <f t="shared" si="4"/>
        <v>-0.0011999999999999789</v>
      </c>
      <c r="P37" s="421">
        <v>0</v>
      </c>
      <c r="Q37" s="421">
        <f t="shared" si="5"/>
        <v>0</v>
      </c>
      <c r="R37" s="421"/>
      <c r="S37" s="424">
        <v>1.26</v>
      </c>
      <c r="T37" s="407"/>
      <c r="U37" s="455">
        <v>1.26</v>
      </c>
      <c r="V37" s="455"/>
      <c r="W37" s="466" t="s">
        <v>499</v>
      </c>
    </row>
    <row r="38" spans="1:23" s="2" customFormat="1" ht="38.25">
      <c r="A38" s="474" t="s">
        <v>131</v>
      </c>
      <c r="B38" s="427" t="s">
        <v>302</v>
      </c>
      <c r="C38" s="421">
        <f t="shared" si="7"/>
        <v>0.49560000000000004</v>
      </c>
      <c r="D38" s="422">
        <f t="shared" si="6"/>
        <v>0.5</v>
      </c>
      <c r="E38" s="422">
        <f>'[1]приложение 1.1'!V128</f>
        <v>0.49560000000000004</v>
      </c>
      <c r="F38" s="421"/>
      <c r="G38" s="421"/>
      <c r="H38" s="421"/>
      <c r="I38" s="421"/>
      <c r="J38" s="421"/>
      <c r="K38" s="421"/>
      <c r="L38" s="421">
        <v>0.5</v>
      </c>
      <c r="M38" s="421">
        <f>E38</f>
        <v>0.49560000000000004</v>
      </c>
      <c r="N38" s="423">
        <f t="shared" si="3"/>
        <v>0</v>
      </c>
      <c r="O38" s="423">
        <f t="shared" si="4"/>
        <v>-0.0043999999999999595</v>
      </c>
      <c r="P38" s="421">
        <v>0</v>
      </c>
      <c r="Q38" s="421">
        <f t="shared" si="5"/>
        <v>0</v>
      </c>
      <c r="R38" s="421"/>
      <c r="S38" s="424">
        <v>2</v>
      </c>
      <c r="T38" s="407"/>
      <c r="U38" s="407">
        <v>2</v>
      </c>
      <c r="V38" s="455"/>
      <c r="W38" s="466" t="s">
        <v>499</v>
      </c>
    </row>
    <row r="39" spans="1:23" s="2" customFormat="1" ht="25.5" customHeight="1">
      <c r="A39" s="474" t="s">
        <v>137</v>
      </c>
      <c r="B39" s="427" t="s">
        <v>304</v>
      </c>
      <c r="C39" s="421">
        <f t="shared" si="7"/>
        <v>0.6372</v>
      </c>
      <c r="D39" s="422">
        <f t="shared" si="6"/>
        <v>0.643</v>
      </c>
      <c r="E39" s="422">
        <f>'[1]приложение 1.1'!V129</f>
        <v>0.6372</v>
      </c>
      <c r="F39" s="421"/>
      <c r="G39" s="421"/>
      <c r="H39" s="421">
        <v>0.643</v>
      </c>
      <c r="I39" s="421">
        <f>E39</f>
        <v>0.6372</v>
      </c>
      <c r="J39" s="421"/>
      <c r="K39" s="421"/>
      <c r="L39" s="421"/>
      <c r="M39" s="421"/>
      <c r="N39" s="423">
        <f t="shared" si="3"/>
        <v>0</v>
      </c>
      <c r="O39" s="423">
        <f t="shared" si="4"/>
        <v>-0.005800000000000027</v>
      </c>
      <c r="P39" s="421">
        <f>O39/D39*100</f>
        <v>-0.9020217729393509</v>
      </c>
      <c r="Q39" s="421">
        <f t="shared" si="5"/>
        <v>0</v>
      </c>
      <c r="R39" s="421"/>
      <c r="S39" s="424">
        <v>0.25</v>
      </c>
      <c r="T39" s="407"/>
      <c r="U39" s="407">
        <v>0.25</v>
      </c>
      <c r="V39" s="455"/>
      <c r="W39" s="471" t="s">
        <v>503</v>
      </c>
    </row>
    <row r="40" spans="1:23" s="2" customFormat="1" ht="25.5" customHeight="1">
      <c r="A40" s="474" t="s">
        <v>143</v>
      </c>
      <c r="B40" s="427" t="s">
        <v>306</v>
      </c>
      <c r="C40" s="421">
        <f t="shared" si="7"/>
        <v>0.7552</v>
      </c>
      <c r="D40" s="422">
        <f t="shared" si="6"/>
        <v>0.76</v>
      </c>
      <c r="E40" s="422">
        <f>'[1]приложение 1.1'!V130</f>
        <v>0.7552</v>
      </c>
      <c r="F40" s="421"/>
      <c r="G40" s="421"/>
      <c r="H40" s="421"/>
      <c r="I40" s="421"/>
      <c r="J40" s="421">
        <v>0.76</v>
      </c>
      <c r="K40" s="421">
        <f>E40</f>
        <v>0.7552</v>
      </c>
      <c r="L40" s="421"/>
      <c r="M40" s="421"/>
      <c r="N40" s="423">
        <f t="shared" si="3"/>
        <v>0</v>
      </c>
      <c r="O40" s="423">
        <f t="shared" si="4"/>
        <v>-0.0048000000000000265</v>
      </c>
      <c r="P40" s="421">
        <f>O40/D40*100</f>
        <v>-0.6315789473684245</v>
      </c>
      <c r="Q40" s="421">
        <f t="shared" si="5"/>
        <v>0</v>
      </c>
      <c r="R40" s="421"/>
      <c r="S40" s="424">
        <v>0.4</v>
      </c>
      <c r="T40" s="407"/>
      <c r="U40" s="407">
        <v>0.4</v>
      </c>
      <c r="V40" s="455"/>
      <c r="W40" s="471" t="s">
        <v>503</v>
      </c>
    </row>
    <row r="41" spans="1:23" s="2" customFormat="1" ht="54" customHeight="1">
      <c r="A41" s="474" t="s">
        <v>145</v>
      </c>
      <c r="B41" s="427" t="s">
        <v>308</v>
      </c>
      <c r="C41" s="421">
        <f t="shared" si="7"/>
        <v>0.6372</v>
      </c>
      <c r="D41" s="422">
        <f t="shared" si="6"/>
        <v>0.64</v>
      </c>
      <c r="E41" s="422">
        <f>'[1]приложение 1.1'!V131</f>
        <v>0.6372</v>
      </c>
      <c r="F41" s="421"/>
      <c r="G41" s="421"/>
      <c r="H41" s="421"/>
      <c r="I41" s="421"/>
      <c r="J41" s="421">
        <v>0.64</v>
      </c>
      <c r="K41" s="421">
        <f>E41</f>
        <v>0.6372</v>
      </c>
      <c r="L41" s="421"/>
      <c r="M41" s="421"/>
      <c r="N41" s="423">
        <f t="shared" si="3"/>
        <v>0</v>
      </c>
      <c r="O41" s="423">
        <f t="shared" si="4"/>
        <v>-0.0028000000000000247</v>
      </c>
      <c r="P41" s="421">
        <f>O41/D41*100</f>
        <v>-0.4375000000000039</v>
      </c>
      <c r="Q41" s="421">
        <f t="shared" si="5"/>
        <v>0</v>
      </c>
      <c r="R41" s="421"/>
      <c r="S41" s="424">
        <v>0.25</v>
      </c>
      <c r="T41" s="407"/>
      <c r="U41" s="407">
        <v>0.25</v>
      </c>
      <c r="V41" s="455"/>
      <c r="W41" s="471" t="s">
        <v>503</v>
      </c>
    </row>
    <row r="42" spans="1:23" s="2" customFormat="1" ht="51.75" customHeight="1">
      <c r="A42" s="474" t="s">
        <v>153</v>
      </c>
      <c r="B42" s="427" t="s">
        <v>310</v>
      </c>
      <c r="C42" s="421">
        <f t="shared" si="7"/>
        <v>0.6372</v>
      </c>
      <c r="D42" s="422">
        <f t="shared" si="6"/>
        <v>0.64</v>
      </c>
      <c r="E42" s="422">
        <f>'[1]приложение 1.1'!V132</f>
        <v>0.6372</v>
      </c>
      <c r="F42" s="421"/>
      <c r="G42" s="421"/>
      <c r="H42" s="421"/>
      <c r="I42" s="421"/>
      <c r="J42" s="421">
        <v>0.64</v>
      </c>
      <c r="K42" s="421">
        <f>E42</f>
        <v>0.6372</v>
      </c>
      <c r="L42" s="421"/>
      <c r="M42" s="421"/>
      <c r="N42" s="423">
        <f t="shared" si="3"/>
        <v>0</v>
      </c>
      <c r="O42" s="423">
        <f t="shared" si="4"/>
        <v>-0.0028000000000000247</v>
      </c>
      <c r="P42" s="421">
        <f>O42/D42*100</f>
        <v>-0.4375000000000039</v>
      </c>
      <c r="Q42" s="421">
        <f t="shared" si="5"/>
        <v>0</v>
      </c>
      <c r="R42" s="421"/>
      <c r="S42" s="424">
        <v>0.25</v>
      </c>
      <c r="T42" s="407"/>
      <c r="U42" s="407">
        <v>0.25</v>
      </c>
      <c r="V42" s="455"/>
      <c r="W42" s="471" t="s">
        <v>503</v>
      </c>
    </row>
    <row r="43" spans="1:23" s="2" customFormat="1" ht="25.5" customHeight="1">
      <c r="A43" s="474" t="s">
        <v>161</v>
      </c>
      <c r="B43" s="427" t="s">
        <v>274</v>
      </c>
      <c r="C43" s="421">
        <f>E43</f>
        <v>3.894</v>
      </c>
      <c r="D43" s="422">
        <f t="shared" si="6"/>
        <v>3.89</v>
      </c>
      <c r="E43" s="421">
        <f>'[1]приложение 1.1'!V112</f>
        <v>3.894</v>
      </c>
      <c r="F43" s="421"/>
      <c r="G43" s="421"/>
      <c r="H43" s="421"/>
      <c r="I43" s="421"/>
      <c r="J43" s="421">
        <v>3.89</v>
      </c>
      <c r="K43" s="421">
        <f>E43</f>
        <v>3.894</v>
      </c>
      <c r="L43" s="421"/>
      <c r="M43" s="421"/>
      <c r="N43" s="423">
        <f t="shared" si="3"/>
        <v>0</v>
      </c>
      <c r="O43" s="423">
        <f t="shared" si="4"/>
        <v>0.0040000000000000036</v>
      </c>
      <c r="P43" s="421">
        <f>O43/D43*100</f>
        <v>0.10282776349614403</v>
      </c>
      <c r="Q43" s="421">
        <f t="shared" si="5"/>
        <v>0</v>
      </c>
      <c r="R43" s="421"/>
      <c r="S43" s="424">
        <v>12.6</v>
      </c>
      <c r="T43" s="407"/>
      <c r="U43" s="407">
        <v>12.6</v>
      </c>
      <c r="V43" s="407"/>
      <c r="W43" s="471" t="s">
        <v>503</v>
      </c>
    </row>
    <row r="44" spans="1:23" s="2" customFormat="1" ht="38.25">
      <c r="A44" s="474" t="s">
        <v>163</v>
      </c>
      <c r="B44" s="419" t="s">
        <v>312</v>
      </c>
      <c r="C44" s="421">
        <f>E44</f>
        <v>5.6168</v>
      </c>
      <c r="D44" s="422">
        <v>5.62</v>
      </c>
      <c r="E44" s="421">
        <f>'[1]приложение 1.1'!V133</f>
        <v>5.6168</v>
      </c>
      <c r="F44" s="421"/>
      <c r="G44" s="421"/>
      <c r="H44" s="421">
        <v>5.62</v>
      </c>
      <c r="I44" s="421">
        <f>E44</f>
        <v>5.6168</v>
      </c>
      <c r="J44" s="421"/>
      <c r="K44" s="421"/>
      <c r="L44" s="421"/>
      <c r="M44" s="421"/>
      <c r="N44" s="423">
        <f t="shared" si="3"/>
        <v>0</v>
      </c>
      <c r="O44" s="423">
        <f t="shared" si="4"/>
        <v>-0.0032000000000005357</v>
      </c>
      <c r="P44" s="421">
        <v>0</v>
      </c>
      <c r="Q44" s="421">
        <f t="shared" si="5"/>
        <v>0</v>
      </c>
      <c r="R44" s="421"/>
      <c r="S44" s="424">
        <v>20</v>
      </c>
      <c r="T44" s="407"/>
      <c r="U44" s="407">
        <v>20</v>
      </c>
      <c r="V44" s="407"/>
      <c r="W44" s="466" t="s">
        <v>499</v>
      </c>
    </row>
    <row r="45" spans="1:23" s="2" customFormat="1" ht="38.25">
      <c r="A45" s="474" t="s">
        <v>165</v>
      </c>
      <c r="B45" s="419" t="s">
        <v>276</v>
      </c>
      <c r="C45" s="421">
        <f>E45</f>
        <v>5.569599999999999</v>
      </c>
      <c r="D45" s="422">
        <v>5.57</v>
      </c>
      <c r="E45" s="421">
        <f>'[1]приложение 1.1'!V113</f>
        <v>5.569599999999999</v>
      </c>
      <c r="F45" s="421"/>
      <c r="G45" s="421"/>
      <c r="H45" s="421"/>
      <c r="I45" s="421"/>
      <c r="J45" s="421"/>
      <c r="K45" s="421"/>
      <c r="L45" s="421">
        <f>D45</f>
        <v>5.57</v>
      </c>
      <c r="M45" s="421">
        <f>E45</f>
        <v>5.569599999999999</v>
      </c>
      <c r="N45" s="423">
        <f t="shared" si="3"/>
        <v>0</v>
      </c>
      <c r="O45" s="423">
        <f t="shared" si="4"/>
        <v>-0.0004000000000008441</v>
      </c>
      <c r="P45" s="421">
        <v>0</v>
      </c>
      <c r="Q45" s="421">
        <f t="shared" si="5"/>
        <v>0</v>
      </c>
      <c r="R45" s="421"/>
      <c r="S45" s="425">
        <v>12.6</v>
      </c>
      <c r="T45" s="407"/>
      <c r="U45" s="407">
        <v>12.6</v>
      </c>
      <c r="V45" s="407"/>
      <c r="W45" s="466" t="s">
        <v>499</v>
      </c>
    </row>
    <row r="46" spans="1:23" s="2" customFormat="1" ht="38.25">
      <c r="A46" s="474" t="s">
        <v>167</v>
      </c>
      <c r="B46" s="427" t="s">
        <v>504</v>
      </c>
      <c r="C46" s="421">
        <f>E46</f>
        <v>5.75</v>
      </c>
      <c r="D46" s="422">
        <v>7.6</v>
      </c>
      <c r="E46" s="421">
        <v>5.75</v>
      </c>
      <c r="F46" s="421"/>
      <c r="G46" s="421"/>
      <c r="H46" s="421">
        <v>7.6</v>
      </c>
      <c r="I46" s="421">
        <v>5.75</v>
      </c>
      <c r="J46" s="421"/>
      <c r="K46" s="421"/>
      <c r="L46" s="421"/>
      <c r="M46" s="421"/>
      <c r="N46" s="423">
        <f t="shared" si="3"/>
        <v>0</v>
      </c>
      <c r="O46" s="423">
        <f t="shared" si="4"/>
        <v>-1.8499999999999996</v>
      </c>
      <c r="P46" s="421">
        <v>0</v>
      </c>
      <c r="Q46" s="421">
        <f t="shared" si="5"/>
        <v>0</v>
      </c>
      <c r="R46" s="421"/>
      <c r="S46" s="425"/>
      <c r="T46" s="407"/>
      <c r="U46" s="407">
        <v>0</v>
      </c>
      <c r="V46" s="407"/>
      <c r="W46" s="466" t="s">
        <v>499</v>
      </c>
    </row>
    <row r="47" spans="1:23" s="2" customFormat="1" ht="38.25">
      <c r="A47" s="474" t="s">
        <v>169</v>
      </c>
      <c r="B47" s="419" t="s">
        <v>128</v>
      </c>
      <c r="C47" s="421">
        <f>E47</f>
        <v>17.294079999999997</v>
      </c>
      <c r="D47" s="422">
        <v>17.29</v>
      </c>
      <c r="E47" s="421">
        <f>'[1]приложение 1.1'!V39</f>
        <v>17.294079999999997</v>
      </c>
      <c r="F47" s="421"/>
      <c r="G47" s="421"/>
      <c r="H47" s="421"/>
      <c r="I47" s="421"/>
      <c r="J47" s="421">
        <f>D47</f>
        <v>17.29</v>
      </c>
      <c r="K47" s="421">
        <f>E47</f>
        <v>17.294079999999997</v>
      </c>
      <c r="L47" s="421"/>
      <c r="M47" s="421"/>
      <c r="N47" s="423">
        <f t="shared" si="3"/>
        <v>0</v>
      </c>
      <c r="O47" s="423">
        <f t="shared" si="4"/>
        <v>0.004079999999998307</v>
      </c>
      <c r="P47" s="421">
        <v>0</v>
      </c>
      <c r="Q47" s="421">
        <f t="shared" si="5"/>
        <v>0</v>
      </c>
      <c r="R47" s="421"/>
      <c r="S47" s="425"/>
      <c r="T47" s="407"/>
      <c r="U47" s="407">
        <v>0</v>
      </c>
      <c r="V47" s="407"/>
      <c r="W47" s="466" t="s">
        <v>499</v>
      </c>
    </row>
    <row r="48" spans="1:23" s="2" customFormat="1" ht="38.25">
      <c r="A48" s="474" t="s">
        <v>171</v>
      </c>
      <c r="B48" s="478" t="s">
        <v>272</v>
      </c>
      <c r="C48" s="421">
        <v>7.75</v>
      </c>
      <c r="D48" s="422">
        <f>F48+H48+J48+L48</f>
        <v>7.02</v>
      </c>
      <c r="E48" s="422">
        <f>G48+I48+K48+M48</f>
        <v>7.75</v>
      </c>
      <c r="F48" s="421"/>
      <c r="G48" s="421"/>
      <c r="H48" s="421"/>
      <c r="I48" s="421"/>
      <c r="J48" s="421"/>
      <c r="K48" s="421"/>
      <c r="L48" s="421">
        <v>7.02</v>
      </c>
      <c r="M48" s="421">
        <f>7.02+0.73</f>
        <v>7.75</v>
      </c>
      <c r="N48" s="423">
        <f t="shared" si="3"/>
        <v>0</v>
      </c>
      <c r="O48" s="423">
        <f t="shared" si="4"/>
        <v>0.7300000000000004</v>
      </c>
      <c r="P48" s="421">
        <v>0</v>
      </c>
      <c r="Q48" s="421">
        <f t="shared" si="5"/>
        <v>0</v>
      </c>
      <c r="R48" s="421"/>
      <c r="S48" s="425"/>
      <c r="T48" s="407"/>
      <c r="U48" s="407">
        <v>0</v>
      </c>
      <c r="V48" s="407"/>
      <c r="W48" s="466" t="s">
        <v>499</v>
      </c>
    </row>
    <row r="49" spans="1:23" s="2" customFormat="1" ht="43.5" customHeight="1">
      <c r="A49" s="474" t="s">
        <v>177</v>
      </c>
      <c r="B49" s="427" t="s">
        <v>130</v>
      </c>
      <c r="C49" s="421">
        <f>E49</f>
        <v>8.968</v>
      </c>
      <c r="D49" s="422">
        <v>8.97</v>
      </c>
      <c r="E49" s="421">
        <f>'[1]приложение 1.1'!V40</f>
        <v>8.968</v>
      </c>
      <c r="F49" s="421">
        <v>8.97</v>
      </c>
      <c r="G49" s="421">
        <v>8.97</v>
      </c>
      <c r="H49" s="421"/>
      <c r="I49" s="421"/>
      <c r="J49" s="421"/>
      <c r="K49" s="421"/>
      <c r="L49" s="421"/>
      <c r="M49" s="421"/>
      <c r="N49" s="423">
        <f t="shared" si="3"/>
        <v>0</v>
      </c>
      <c r="O49" s="423">
        <f t="shared" si="4"/>
        <v>-0.002000000000000668</v>
      </c>
      <c r="P49" s="421">
        <v>0</v>
      </c>
      <c r="Q49" s="421">
        <f t="shared" si="5"/>
        <v>0</v>
      </c>
      <c r="R49" s="421"/>
      <c r="S49" s="425"/>
      <c r="T49" s="407"/>
      <c r="U49" s="407">
        <v>0</v>
      </c>
      <c r="V49" s="407"/>
      <c r="W49" s="466" t="s">
        <v>499</v>
      </c>
    </row>
    <row r="50" spans="1:23" s="2" customFormat="1" ht="15.75">
      <c r="A50" s="474" t="s">
        <v>179</v>
      </c>
      <c r="B50" s="427" t="s">
        <v>294</v>
      </c>
      <c r="C50" s="421">
        <v>12.62</v>
      </c>
      <c r="D50" s="422">
        <v>12.01</v>
      </c>
      <c r="E50" s="421">
        <f>M50</f>
        <v>12.62</v>
      </c>
      <c r="F50" s="421"/>
      <c r="G50" s="421"/>
      <c r="H50" s="421"/>
      <c r="I50" s="421"/>
      <c r="J50" s="421"/>
      <c r="K50" s="421"/>
      <c r="L50" s="421">
        <v>12.01</v>
      </c>
      <c r="M50" s="421">
        <v>12.62</v>
      </c>
      <c r="N50" s="423">
        <f t="shared" si="3"/>
        <v>0</v>
      </c>
      <c r="O50" s="423">
        <f t="shared" si="4"/>
        <v>0.6099999999999994</v>
      </c>
      <c r="P50" s="421">
        <v>0</v>
      </c>
      <c r="Q50" s="421">
        <f t="shared" si="5"/>
        <v>0</v>
      </c>
      <c r="R50" s="421"/>
      <c r="S50" s="424">
        <v>0</v>
      </c>
      <c r="T50" s="407"/>
      <c r="U50" s="407">
        <v>0</v>
      </c>
      <c r="V50" s="407"/>
      <c r="W50" s="466" t="s">
        <v>501</v>
      </c>
    </row>
    <row r="51" spans="1:23" ht="45.75" customHeight="1">
      <c r="A51" s="428" t="s">
        <v>313</v>
      </c>
      <c r="B51" s="429" t="s">
        <v>314</v>
      </c>
      <c r="C51" s="430"/>
      <c r="D51" s="430"/>
      <c r="E51" s="431"/>
      <c r="F51" s="431"/>
      <c r="G51" s="431"/>
      <c r="H51" s="431"/>
      <c r="I51" s="432"/>
      <c r="J51" s="431"/>
      <c r="K51" s="433"/>
      <c r="L51" s="433"/>
      <c r="M51" s="433"/>
      <c r="N51" s="433"/>
      <c r="O51" s="431"/>
      <c r="P51" s="434"/>
      <c r="Q51" s="434"/>
      <c r="R51" s="433"/>
      <c r="S51" s="433"/>
      <c r="T51" s="435"/>
      <c r="U51" s="435"/>
      <c r="V51" s="435"/>
      <c r="W51" s="479"/>
    </row>
    <row r="52" spans="1:23" ht="15.75">
      <c r="A52" s="436"/>
      <c r="B52" s="437"/>
      <c r="C52" s="438"/>
      <c r="D52" s="438"/>
      <c r="E52" s="422"/>
      <c r="F52" s="420"/>
      <c r="G52" s="420"/>
      <c r="H52" s="420"/>
      <c r="I52" s="421"/>
      <c r="J52" s="420"/>
      <c r="K52" s="439"/>
      <c r="L52" s="439"/>
      <c r="M52" s="439"/>
      <c r="N52" s="439"/>
      <c r="O52" s="420"/>
      <c r="P52" s="440"/>
      <c r="Q52" s="440"/>
      <c r="R52" s="439"/>
      <c r="S52" s="439"/>
      <c r="T52" s="441"/>
      <c r="U52" s="441"/>
      <c r="V52" s="442"/>
      <c r="W52" s="480"/>
    </row>
    <row r="53" spans="1:23" ht="33" customHeight="1">
      <c r="A53" s="428" t="s">
        <v>315</v>
      </c>
      <c r="B53" s="429" t="s">
        <v>316</v>
      </c>
      <c r="C53" s="430"/>
      <c r="D53" s="430"/>
      <c r="E53" s="431"/>
      <c r="F53" s="431"/>
      <c r="G53" s="431"/>
      <c r="H53" s="431"/>
      <c r="I53" s="432"/>
      <c r="J53" s="431"/>
      <c r="K53" s="433"/>
      <c r="L53" s="433"/>
      <c r="M53" s="433"/>
      <c r="N53" s="433"/>
      <c r="O53" s="431"/>
      <c r="P53" s="434"/>
      <c r="Q53" s="434"/>
      <c r="R53" s="433"/>
      <c r="S53" s="433"/>
      <c r="T53" s="435"/>
      <c r="U53" s="435"/>
      <c r="V53" s="435"/>
      <c r="W53" s="479"/>
    </row>
    <row r="54" spans="1:23" ht="13.5" customHeight="1">
      <c r="A54" s="436"/>
      <c r="B54" s="437"/>
      <c r="C54" s="438"/>
      <c r="D54" s="438"/>
      <c r="E54" s="422"/>
      <c r="F54" s="420"/>
      <c r="G54" s="420"/>
      <c r="H54" s="420"/>
      <c r="I54" s="421"/>
      <c r="J54" s="420"/>
      <c r="K54" s="439"/>
      <c r="L54" s="439"/>
      <c r="M54" s="439"/>
      <c r="N54" s="439"/>
      <c r="O54" s="420"/>
      <c r="P54" s="440"/>
      <c r="Q54" s="440"/>
      <c r="R54" s="439"/>
      <c r="S54" s="439"/>
      <c r="T54" s="441"/>
      <c r="U54" s="441"/>
      <c r="V54" s="442"/>
      <c r="W54" s="480"/>
    </row>
    <row r="55" spans="1:23" ht="51">
      <c r="A55" s="428" t="s">
        <v>317</v>
      </c>
      <c r="B55" s="429" t="s">
        <v>318</v>
      </c>
      <c r="C55" s="430"/>
      <c r="D55" s="430"/>
      <c r="E55" s="431"/>
      <c r="F55" s="431"/>
      <c r="G55" s="431"/>
      <c r="H55" s="431"/>
      <c r="I55" s="432"/>
      <c r="J55" s="431"/>
      <c r="K55" s="433"/>
      <c r="L55" s="433"/>
      <c r="M55" s="433"/>
      <c r="N55" s="433"/>
      <c r="O55" s="431"/>
      <c r="P55" s="434"/>
      <c r="Q55" s="434"/>
      <c r="R55" s="433"/>
      <c r="S55" s="433"/>
      <c r="T55" s="435"/>
      <c r="U55" s="435"/>
      <c r="V55" s="435"/>
      <c r="W55" s="479"/>
    </row>
    <row r="56" spans="1:23" ht="15.75">
      <c r="A56" s="436"/>
      <c r="B56" s="437"/>
      <c r="C56" s="438"/>
      <c r="D56" s="438"/>
      <c r="E56" s="422"/>
      <c r="F56" s="420"/>
      <c r="G56" s="420"/>
      <c r="H56" s="420"/>
      <c r="I56" s="421"/>
      <c r="J56" s="420"/>
      <c r="K56" s="439"/>
      <c r="L56" s="439"/>
      <c r="M56" s="439"/>
      <c r="N56" s="439"/>
      <c r="O56" s="420"/>
      <c r="P56" s="440"/>
      <c r="Q56" s="440"/>
      <c r="R56" s="439"/>
      <c r="S56" s="439"/>
      <c r="T56" s="441"/>
      <c r="U56" s="441"/>
      <c r="V56" s="442"/>
      <c r="W56" s="480"/>
    </row>
    <row r="57" spans="1:23" ht="15.75">
      <c r="A57" s="443" t="s">
        <v>319</v>
      </c>
      <c r="B57" s="444" t="s">
        <v>320</v>
      </c>
      <c r="C57" s="445">
        <f aca="true" t="shared" si="8" ref="C57:N57">C58+C61</f>
        <v>1.66</v>
      </c>
      <c r="D57" s="445">
        <f t="shared" si="8"/>
        <v>6.7</v>
      </c>
      <c r="E57" s="445">
        <f t="shared" si="8"/>
        <v>1.66</v>
      </c>
      <c r="F57" s="445">
        <f t="shared" si="8"/>
        <v>0</v>
      </c>
      <c r="G57" s="445">
        <f t="shared" si="8"/>
        <v>0</v>
      </c>
      <c r="H57" s="445">
        <f t="shared" si="8"/>
        <v>0</v>
      </c>
      <c r="I57" s="445">
        <f t="shared" si="8"/>
        <v>0</v>
      </c>
      <c r="J57" s="445">
        <f t="shared" si="8"/>
        <v>6.7</v>
      </c>
      <c r="K57" s="445">
        <f t="shared" si="8"/>
        <v>1.66</v>
      </c>
      <c r="L57" s="445">
        <f t="shared" si="8"/>
        <v>0</v>
      </c>
      <c r="M57" s="445">
        <f t="shared" si="8"/>
        <v>0</v>
      </c>
      <c r="N57" s="445">
        <f t="shared" si="8"/>
        <v>0</v>
      </c>
      <c r="O57" s="423">
        <f>E57-D57</f>
        <v>-5.04</v>
      </c>
      <c r="P57" s="421">
        <v>0</v>
      </c>
      <c r="Q57" s="421">
        <f>N57</f>
        <v>0</v>
      </c>
      <c r="R57" s="421" t="s">
        <v>37</v>
      </c>
      <c r="S57" s="445">
        <f>S58+S61</f>
        <v>0</v>
      </c>
      <c r="T57" s="445">
        <f>T58+T61</f>
        <v>4.18</v>
      </c>
      <c r="U57" s="445">
        <f>U58+U61</f>
        <v>0</v>
      </c>
      <c r="V57" s="445">
        <f>V58+V61</f>
        <v>0.78</v>
      </c>
      <c r="W57" s="467"/>
    </row>
    <row r="58" spans="1:23" ht="38.25">
      <c r="A58" s="446" t="s">
        <v>321</v>
      </c>
      <c r="B58" s="447" t="s">
        <v>75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>
        <v>0</v>
      </c>
      <c r="M58" s="448"/>
      <c r="N58" s="448"/>
      <c r="O58" s="448"/>
      <c r="P58" s="448"/>
      <c r="Q58" s="448"/>
      <c r="R58" s="433"/>
      <c r="S58" s="433"/>
      <c r="T58" s="435"/>
      <c r="U58" s="435"/>
      <c r="V58" s="435"/>
      <c r="W58" s="479"/>
    </row>
    <row r="59" spans="1:23" ht="38.25">
      <c r="A59" s="446" t="s">
        <v>321</v>
      </c>
      <c r="B59" s="447" t="s">
        <v>75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>
        <v>0</v>
      </c>
      <c r="M59" s="451"/>
      <c r="N59" s="451"/>
      <c r="O59" s="451"/>
      <c r="P59" s="451"/>
      <c r="Q59" s="451"/>
      <c r="R59" s="451"/>
      <c r="S59" s="451"/>
      <c r="T59" s="452"/>
      <c r="U59" s="452"/>
      <c r="V59" s="452"/>
      <c r="W59" s="481"/>
    </row>
    <row r="60" spans="1:23" ht="15.75">
      <c r="A60" s="449"/>
      <c r="B60" s="450"/>
      <c r="C60" s="425"/>
      <c r="D60" s="423"/>
      <c r="E60" s="45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42"/>
      <c r="U60" s="442"/>
      <c r="V60" s="442"/>
      <c r="W60" s="466"/>
    </row>
    <row r="61" spans="1:23" ht="15.75">
      <c r="A61" s="446" t="s">
        <v>325</v>
      </c>
      <c r="B61" s="447" t="s">
        <v>326</v>
      </c>
      <c r="C61" s="448">
        <f aca="true" t="shared" si="9" ref="C61:N61">C62+C78+C80</f>
        <v>1.66</v>
      </c>
      <c r="D61" s="448">
        <f t="shared" si="9"/>
        <v>6.7</v>
      </c>
      <c r="E61" s="448">
        <f t="shared" si="9"/>
        <v>1.66</v>
      </c>
      <c r="F61" s="448">
        <f t="shared" si="9"/>
        <v>0</v>
      </c>
      <c r="G61" s="448">
        <f t="shared" si="9"/>
        <v>0</v>
      </c>
      <c r="H61" s="448">
        <f t="shared" si="9"/>
        <v>0</v>
      </c>
      <c r="I61" s="448">
        <f t="shared" si="9"/>
        <v>0</v>
      </c>
      <c r="J61" s="448">
        <f t="shared" si="9"/>
        <v>6.7</v>
      </c>
      <c r="K61" s="448">
        <f t="shared" si="9"/>
        <v>1.66</v>
      </c>
      <c r="L61" s="448">
        <f t="shared" si="9"/>
        <v>0</v>
      </c>
      <c r="M61" s="448">
        <f t="shared" si="9"/>
        <v>0</v>
      </c>
      <c r="N61" s="448">
        <f t="shared" si="9"/>
        <v>0</v>
      </c>
      <c r="O61" s="451">
        <f>E61-D61</f>
        <v>-5.04</v>
      </c>
      <c r="P61" s="432">
        <v>0</v>
      </c>
      <c r="Q61" s="448">
        <f aca="true" t="shared" si="10" ref="Q61:V61">Q62+Q78+Q80</f>
        <v>0</v>
      </c>
      <c r="R61" s="448">
        <f t="shared" si="10"/>
        <v>0</v>
      </c>
      <c r="S61" s="448">
        <f t="shared" si="10"/>
        <v>0</v>
      </c>
      <c r="T61" s="448">
        <f t="shared" si="10"/>
        <v>4.18</v>
      </c>
      <c r="U61" s="448">
        <f t="shared" si="10"/>
        <v>0</v>
      </c>
      <c r="V61" s="448">
        <f t="shared" si="10"/>
        <v>0.78</v>
      </c>
      <c r="W61" s="482"/>
    </row>
    <row r="62" spans="1:23" ht="15.75">
      <c r="A62" s="446" t="s">
        <v>327</v>
      </c>
      <c r="B62" s="447" t="s">
        <v>328</v>
      </c>
      <c r="C62" s="448">
        <f aca="true" t="shared" si="11" ref="C62:V62">C64</f>
        <v>1.66</v>
      </c>
      <c r="D62" s="448">
        <f t="shared" si="11"/>
        <v>6.7</v>
      </c>
      <c r="E62" s="448">
        <f t="shared" si="11"/>
        <v>1.66</v>
      </c>
      <c r="F62" s="448">
        <f t="shared" si="11"/>
        <v>0</v>
      </c>
      <c r="G62" s="448">
        <f t="shared" si="11"/>
        <v>0</v>
      </c>
      <c r="H62" s="448">
        <f t="shared" si="11"/>
        <v>0</v>
      </c>
      <c r="I62" s="448">
        <f t="shared" si="11"/>
        <v>0</v>
      </c>
      <c r="J62" s="448">
        <f t="shared" si="11"/>
        <v>6.7</v>
      </c>
      <c r="K62" s="448">
        <f t="shared" si="11"/>
        <v>1.66</v>
      </c>
      <c r="L62" s="448">
        <f t="shared" si="11"/>
        <v>0</v>
      </c>
      <c r="M62" s="448">
        <f t="shared" si="11"/>
        <v>0</v>
      </c>
      <c r="N62" s="448">
        <f t="shared" si="11"/>
        <v>0</v>
      </c>
      <c r="O62" s="448">
        <f t="shared" si="11"/>
        <v>-5.04</v>
      </c>
      <c r="P62" s="448">
        <f t="shared" si="11"/>
        <v>0</v>
      </c>
      <c r="Q62" s="448">
        <f t="shared" si="11"/>
        <v>0</v>
      </c>
      <c r="R62" s="448">
        <f t="shared" si="11"/>
        <v>0</v>
      </c>
      <c r="S62" s="448">
        <f t="shared" si="11"/>
        <v>0</v>
      </c>
      <c r="T62" s="448">
        <f t="shared" si="11"/>
        <v>4.18</v>
      </c>
      <c r="U62" s="448">
        <f t="shared" si="11"/>
        <v>0</v>
      </c>
      <c r="V62" s="448">
        <f t="shared" si="11"/>
        <v>0.78</v>
      </c>
      <c r="W62" s="481"/>
    </row>
    <row r="63" spans="1:23" ht="15.75">
      <c r="A63" s="454"/>
      <c r="B63" s="427"/>
      <c r="C63" s="425"/>
      <c r="D63" s="420"/>
      <c r="E63" s="421"/>
      <c r="F63" s="425"/>
      <c r="G63" s="425"/>
      <c r="H63" s="425"/>
      <c r="I63" s="439"/>
      <c r="J63" s="439"/>
      <c r="K63" s="420"/>
      <c r="L63" s="439"/>
      <c r="M63" s="420"/>
      <c r="N63" s="425"/>
      <c r="O63" s="425"/>
      <c r="P63" s="439"/>
      <c r="Q63" s="425"/>
      <c r="R63" s="423"/>
      <c r="S63" s="423"/>
      <c r="T63" s="442"/>
      <c r="U63" s="442"/>
      <c r="V63" s="455"/>
      <c r="W63" s="466"/>
    </row>
    <row r="64" spans="1:23" ht="15.75">
      <c r="A64" s="456" t="s">
        <v>355</v>
      </c>
      <c r="B64" s="457" t="s">
        <v>356</v>
      </c>
      <c r="C64" s="430">
        <f>SUM(C65:C66)</f>
        <v>1.66</v>
      </c>
      <c r="D64" s="430">
        <f>SUM(D65:D66)</f>
        <v>6.7</v>
      </c>
      <c r="E64" s="430">
        <f>SUM(E65:E65)</f>
        <v>1.66</v>
      </c>
      <c r="F64" s="430">
        <f>SUM(F65:F65)</f>
        <v>0</v>
      </c>
      <c r="G64" s="430">
        <f>SUM(G65:G65)</f>
        <v>0</v>
      </c>
      <c r="H64" s="430">
        <f>SUM(H65:H65)</f>
        <v>0</v>
      </c>
      <c r="I64" s="430">
        <f>SUM(I65:I65)</f>
        <v>0</v>
      </c>
      <c r="J64" s="430">
        <f>SUM(J65:J66)</f>
        <v>6.7</v>
      </c>
      <c r="K64" s="430">
        <f>SUM(K65:K66)</f>
        <v>1.66</v>
      </c>
      <c r="L64" s="430">
        <f>SUM(L65:L65)</f>
        <v>0</v>
      </c>
      <c r="M64" s="430">
        <f>SUM(M65:M65)</f>
        <v>0</v>
      </c>
      <c r="N64" s="430">
        <f>SUM(N65:N66)</f>
        <v>0</v>
      </c>
      <c r="O64" s="430">
        <f>SUM(O65:O66)</f>
        <v>-5.04</v>
      </c>
      <c r="P64" s="430">
        <f>SUM(P65:P66)</f>
        <v>0</v>
      </c>
      <c r="Q64" s="430">
        <f>SUM(Q65:Q66)</f>
        <v>0</v>
      </c>
      <c r="R64" s="430">
        <f>SUM(R65:R65)</f>
        <v>0</v>
      </c>
      <c r="S64" s="430">
        <f>SUM(S65:S65)</f>
        <v>0</v>
      </c>
      <c r="T64" s="430">
        <f>SUM(T65:T66)</f>
        <v>4.18</v>
      </c>
      <c r="U64" s="430">
        <f>SUM(U65:U65)</f>
        <v>0</v>
      </c>
      <c r="V64" s="430">
        <f>SUM(V65:V65)</f>
        <v>0.78</v>
      </c>
      <c r="W64" s="481"/>
    </row>
    <row r="65" spans="1:23" s="2" customFormat="1" ht="38.25">
      <c r="A65" s="454" t="s">
        <v>357</v>
      </c>
      <c r="B65" s="426" t="s">
        <v>368</v>
      </c>
      <c r="C65" s="425">
        <v>1.66</v>
      </c>
      <c r="D65" s="423">
        <v>1.66</v>
      </c>
      <c r="E65" s="422">
        <v>1.66</v>
      </c>
      <c r="F65" s="420"/>
      <c r="G65" s="425"/>
      <c r="H65" s="425"/>
      <c r="I65" s="439"/>
      <c r="J65" s="420">
        <v>1.66</v>
      </c>
      <c r="K65" s="440">
        <f>E65</f>
        <v>1.66</v>
      </c>
      <c r="L65" s="440"/>
      <c r="M65" s="420"/>
      <c r="N65" s="423">
        <f>C65-E65</f>
        <v>0</v>
      </c>
      <c r="O65" s="423">
        <f>E65-D65</f>
        <v>0</v>
      </c>
      <c r="P65" s="421">
        <v>0</v>
      </c>
      <c r="Q65" s="421">
        <f>N65</f>
        <v>0</v>
      </c>
      <c r="R65" s="423"/>
      <c r="S65" s="423"/>
      <c r="T65" s="442">
        <v>0.78</v>
      </c>
      <c r="U65" s="442"/>
      <c r="V65" s="483">
        <v>0.78</v>
      </c>
      <c r="W65" s="466" t="s">
        <v>505</v>
      </c>
    </row>
    <row r="66" spans="1:23" s="2" customFormat="1" ht="38.25">
      <c r="A66" s="454" t="s">
        <v>359</v>
      </c>
      <c r="B66" s="426" t="s">
        <v>369</v>
      </c>
      <c r="C66" s="423">
        <f>E66+G66+I66+K66</f>
        <v>0</v>
      </c>
      <c r="D66" s="423">
        <f>F66+H66+J66+L66</f>
        <v>5.04</v>
      </c>
      <c r="E66" s="423">
        <f>G66+I66+K66+M66</f>
        <v>0</v>
      </c>
      <c r="F66" s="420"/>
      <c r="G66" s="425"/>
      <c r="H66" s="425"/>
      <c r="I66" s="439"/>
      <c r="J66" s="420">
        <v>5.04</v>
      </c>
      <c r="K66" s="440">
        <v>0</v>
      </c>
      <c r="L66" s="440"/>
      <c r="M66" s="420"/>
      <c r="N66" s="423">
        <f>C66-E66</f>
        <v>0</v>
      </c>
      <c r="O66" s="423">
        <f>E66-D66</f>
        <v>-5.04</v>
      </c>
      <c r="P66" s="421">
        <v>0</v>
      </c>
      <c r="Q66" s="421">
        <f>N66</f>
        <v>0</v>
      </c>
      <c r="R66" s="423"/>
      <c r="S66" s="423"/>
      <c r="T66" s="442">
        <v>3.4</v>
      </c>
      <c r="U66" s="442"/>
      <c r="V66" s="483">
        <v>0</v>
      </c>
      <c r="W66" s="466" t="s">
        <v>505</v>
      </c>
    </row>
    <row r="67" spans="1:23" ht="15.75">
      <c r="A67" s="456" t="s">
        <v>370</v>
      </c>
      <c r="B67" s="457" t="s">
        <v>371</v>
      </c>
      <c r="C67" s="458"/>
      <c r="D67" s="458"/>
      <c r="E67" s="458"/>
      <c r="F67" s="458"/>
      <c r="G67" s="448"/>
      <c r="H67" s="448"/>
      <c r="I67" s="430"/>
      <c r="J67" s="458"/>
      <c r="K67" s="484"/>
      <c r="L67" s="484"/>
      <c r="M67" s="458"/>
      <c r="N67" s="430"/>
      <c r="O67" s="430"/>
      <c r="P67" s="430"/>
      <c r="Q67" s="448"/>
      <c r="R67" s="451"/>
      <c r="S67" s="451"/>
      <c r="T67" s="459"/>
      <c r="U67" s="459"/>
      <c r="V67" s="459"/>
      <c r="W67" s="481"/>
    </row>
    <row r="68" spans="1:23" s="100" customFormat="1" ht="15.75">
      <c r="A68" s="460" t="s">
        <v>376</v>
      </c>
      <c r="B68" s="461" t="s">
        <v>377</v>
      </c>
      <c r="C68" s="485">
        <f>E68</f>
        <v>7.98</v>
      </c>
      <c r="D68" s="485">
        <v>6.75</v>
      </c>
      <c r="E68" s="485">
        <f>G68+I68+K68+M68</f>
        <v>7.98</v>
      </c>
      <c r="F68" s="485">
        <v>0</v>
      </c>
      <c r="G68" s="485">
        <v>0</v>
      </c>
      <c r="H68" s="485">
        <v>0</v>
      </c>
      <c r="I68" s="485">
        <v>0</v>
      </c>
      <c r="J68" s="485">
        <v>2.76</v>
      </c>
      <c r="K68" s="485">
        <v>3.99</v>
      </c>
      <c r="L68" s="485">
        <v>3.99</v>
      </c>
      <c r="M68" s="485">
        <v>3.99</v>
      </c>
      <c r="N68" s="411">
        <f>C68-E68</f>
        <v>0</v>
      </c>
      <c r="O68" s="411">
        <f>E68-D68</f>
        <v>1.2300000000000004</v>
      </c>
      <c r="P68" s="412">
        <f>O68/D68*100</f>
        <v>18.22222222222223</v>
      </c>
      <c r="Q68" s="410">
        <v>0</v>
      </c>
      <c r="R68" s="486"/>
      <c r="S68" s="486"/>
      <c r="T68" s="487"/>
      <c r="U68" s="487"/>
      <c r="V68" s="487"/>
      <c r="W68" s="488"/>
    </row>
  </sheetData>
  <sheetProtection selectLockedCells="1" selectUnlockedCells="1"/>
  <mergeCells count="40">
    <mergeCell ref="S19:V19"/>
    <mergeCell ref="S20:V20"/>
    <mergeCell ref="U2:W2"/>
    <mergeCell ref="U3:W3"/>
    <mergeCell ref="U4:W4"/>
    <mergeCell ref="P9:W9"/>
    <mergeCell ref="P10:W10"/>
    <mergeCell ref="P11:W11"/>
    <mergeCell ref="U12:W12"/>
    <mergeCell ref="V13:W13"/>
    <mergeCell ref="A16:W16"/>
    <mergeCell ref="A19:A22"/>
    <mergeCell ref="B19:B22"/>
    <mergeCell ref="C19:C22"/>
    <mergeCell ref="D19:M19"/>
    <mergeCell ref="N19:N22"/>
    <mergeCell ref="O19:R19"/>
    <mergeCell ref="W19:W21"/>
    <mergeCell ref="D20:E20"/>
    <mergeCell ref="S21:T21"/>
    <mergeCell ref="U21:V21"/>
    <mergeCell ref="F20:G20"/>
    <mergeCell ref="H20:I20"/>
    <mergeCell ref="J20:K20"/>
    <mergeCell ref="L20:M20"/>
    <mergeCell ref="H21:H22"/>
    <mergeCell ref="I21:I22"/>
    <mergeCell ref="J21:J22"/>
    <mergeCell ref="K21:K22"/>
    <mergeCell ref="L21:L22"/>
    <mergeCell ref="D21:D22"/>
    <mergeCell ref="E21:E22"/>
    <mergeCell ref="F21:F22"/>
    <mergeCell ref="G21:G22"/>
    <mergeCell ref="M21:M22"/>
    <mergeCell ref="Q21:Q22"/>
    <mergeCell ref="R21:R22"/>
    <mergeCell ref="O20:O22"/>
    <mergeCell ref="P20:P22"/>
    <mergeCell ref="Q20:R20"/>
  </mergeCells>
  <printOptions/>
  <pageMargins left="0.7875" right="0.43333333333333335" top="0.7875" bottom="0.7875" header="0.5118055555555555" footer="0.5118055555555555"/>
  <pageSetup horizontalDpi="300" verticalDpi="3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B178"/>
  <sheetViews>
    <sheetView view="pageBreakPreview" zoomScale="70" zoomScaleNormal="66" zoomScaleSheetLayoutView="70" workbookViewId="0" topLeftCell="A1">
      <selection activeCell="A1" sqref="A1"/>
    </sheetView>
  </sheetViews>
  <sheetFormatPr defaultColWidth="9.00390625" defaultRowHeight="15.75"/>
  <cols>
    <col min="1" max="1" width="2.00390625" style="0" customWidth="1"/>
    <col min="2" max="2" width="8.875" style="489" customWidth="1"/>
    <col min="3" max="3" width="43.00390625" style="490" customWidth="1"/>
    <col min="4" max="4" width="15.00390625" style="491" customWidth="1"/>
    <col min="5" max="5" width="13.625" style="491" customWidth="1"/>
    <col min="6" max="7" width="11.25390625" style="491" customWidth="1"/>
    <col min="8" max="8" width="8.875" style="491" customWidth="1"/>
    <col min="9" max="9" width="13.625" style="491" customWidth="1"/>
    <col min="10" max="10" width="14.625" style="491" customWidth="1"/>
    <col min="11" max="11" width="13.25390625" style="491" customWidth="1"/>
    <col min="12" max="12" width="14.00390625" style="491" customWidth="1"/>
    <col min="13" max="13" width="12.625" style="491" customWidth="1"/>
    <col min="14" max="14" width="15.875" style="491" customWidth="1"/>
    <col min="15" max="15" width="13.375" style="491" customWidth="1"/>
    <col min="16" max="16" width="14.625" style="491" customWidth="1"/>
    <col min="17" max="17" width="15.50390625" style="491" customWidth="1"/>
    <col min="18" max="18" width="14.75390625" style="491" customWidth="1"/>
    <col min="19" max="19" width="14.625" style="491" customWidth="1"/>
    <col min="20" max="20" width="15.125" style="491" customWidth="1"/>
    <col min="21" max="21" width="14.25390625" style="491" customWidth="1"/>
    <col min="22" max="22" width="25.125" style="492" customWidth="1"/>
    <col min="23" max="23" width="20.625" style="492" customWidth="1"/>
    <col min="24" max="24" width="36.875" style="492" customWidth="1"/>
    <col min="25" max="25" width="11.625" style="491" customWidth="1"/>
    <col min="26" max="27" width="9.125" style="491" customWidth="1"/>
    <col min="28" max="28" width="17.00390625" style="491" customWidth="1"/>
    <col min="29" max="16384" width="9.00390625" style="489" customWidth="1"/>
  </cols>
  <sheetData>
    <row r="1" spans="16:28" ht="15.75">
      <c r="P1" s="493"/>
      <c r="Q1" s="493"/>
      <c r="R1" s="493"/>
      <c r="S1" s="493"/>
      <c r="T1" s="493"/>
      <c r="U1" s="493"/>
      <c r="Y1" s="493"/>
      <c r="Z1" s="493"/>
      <c r="AA1" s="493"/>
      <c r="AB1" s="493"/>
    </row>
    <row r="2" spans="16:28" ht="15.75">
      <c r="P2" s="493"/>
      <c r="Q2" s="493"/>
      <c r="R2" s="493"/>
      <c r="S2" s="493"/>
      <c r="T2" s="493"/>
      <c r="U2" s="493"/>
      <c r="Y2" s="493"/>
      <c r="Z2" s="493"/>
      <c r="AA2" s="493"/>
      <c r="AB2" s="11" t="s">
        <v>506</v>
      </c>
    </row>
    <row r="3" spans="16:28" ht="15.75">
      <c r="P3" s="493"/>
      <c r="Q3" s="493"/>
      <c r="R3" s="493"/>
      <c r="S3" s="493"/>
      <c r="T3" s="493"/>
      <c r="U3" s="493"/>
      <c r="Y3" s="703"/>
      <c r="Z3" s="703"/>
      <c r="AA3" s="703"/>
      <c r="AB3" s="703"/>
    </row>
    <row r="4" spans="16:28" ht="12.75" customHeight="1">
      <c r="P4" s="493"/>
      <c r="Q4" s="493"/>
      <c r="R4" s="493"/>
      <c r="S4" s="493"/>
      <c r="T4" s="493"/>
      <c r="U4" s="493"/>
      <c r="Y4" s="704" t="s">
        <v>37</v>
      </c>
      <c r="Z4" s="704"/>
      <c r="AA4" s="704"/>
      <c r="AB4" s="704"/>
    </row>
    <row r="5" spans="16:28" ht="15.75">
      <c r="P5" s="493"/>
      <c r="Q5" s="493"/>
      <c r="R5" s="493"/>
      <c r="S5" s="493"/>
      <c r="T5" s="493"/>
      <c r="U5" s="493"/>
      <c r="Y5" s="494"/>
      <c r="Z5" s="653"/>
      <c r="AA5" s="653"/>
      <c r="AB5" s="653"/>
    </row>
    <row r="6" spans="16:28" ht="15.75">
      <c r="P6" s="493"/>
      <c r="Q6" s="493"/>
      <c r="R6" s="493"/>
      <c r="S6" s="493"/>
      <c r="T6" s="493"/>
      <c r="U6" s="493"/>
      <c r="Y6" s="493"/>
      <c r="Z6" s="493"/>
      <c r="AA6" s="493"/>
      <c r="AB6" s="493"/>
    </row>
    <row r="7" spans="2:28" ht="15.75">
      <c r="B7" s="705" t="s">
        <v>507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</row>
    <row r="8" spans="16:28" ht="15.75">
      <c r="P8" s="493"/>
      <c r="Q8" s="493"/>
      <c r="R8" s="493"/>
      <c r="S8" s="493"/>
      <c r="T8" s="493"/>
      <c r="U8" s="493"/>
      <c r="Y8" s="493"/>
      <c r="Z8" s="493"/>
      <c r="AA8" s="493"/>
      <c r="AB8" s="11"/>
    </row>
    <row r="9" spans="16:28" ht="15.75">
      <c r="P9" s="493"/>
      <c r="Q9" s="493"/>
      <c r="R9" s="493"/>
      <c r="S9" s="493"/>
      <c r="T9" s="493"/>
      <c r="U9" s="493"/>
      <c r="Y9" s="2"/>
      <c r="Z9" s="2"/>
      <c r="AA9" s="2"/>
      <c r="AB9" s="11" t="s">
        <v>43</v>
      </c>
    </row>
    <row r="10" spans="16:28" ht="15.75">
      <c r="P10" s="493"/>
      <c r="Q10" s="493"/>
      <c r="R10" s="493"/>
      <c r="S10" s="493"/>
      <c r="T10" s="493"/>
      <c r="U10" s="493"/>
      <c r="X10" s="491"/>
      <c r="Y10" s="2"/>
      <c r="Z10" s="2"/>
      <c r="AA10" s="2"/>
      <c r="AB10" s="11" t="s">
        <v>44</v>
      </c>
    </row>
    <row r="11" spans="16:28" ht="15.75">
      <c r="P11" s="493"/>
      <c r="Q11" s="493"/>
      <c r="R11" s="493"/>
      <c r="S11" s="493"/>
      <c r="T11" s="493"/>
      <c r="U11" s="493"/>
      <c r="Y11" s="2"/>
      <c r="Z11" s="653" t="s">
        <v>45</v>
      </c>
      <c r="AA11" s="653"/>
      <c r="AB11" s="653"/>
    </row>
    <row r="12" spans="16:28" ht="12.75" customHeight="1">
      <c r="P12" s="493"/>
      <c r="Q12" s="493"/>
      <c r="R12" s="493"/>
      <c r="S12" s="493"/>
      <c r="T12" s="493"/>
      <c r="U12" s="493"/>
      <c r="Y12" s="2"/>
      <c r="Z12" s="495"/>
      <c r="AA12" s="701" t="s">
        <v>508</v>
      </c>
      <c r="AB12" s="701"/>
    </row>
    <row r="13" spans="16:28" ht="15.75">
      <c r="P13" s="493"/>
      <c r="Q13" s="493"/>
      <c r="R13" s="493"/>
      <c r="S13" s="493"/>
      <c r="T13" s="493"/>
      <c r="U13" s="493"/>
      <c r="Y13" s="2"/>
      <c r="Z13" s="2"/>
      <c r="AA13" s="2"/>
      <c r="AB13" s="166"/>
    </row>
    <row r="14" spans="25:28" ht="15.75">
      <c r="Y14" s="2"/>
      <c r="Z14" s="2"/>
      <c r="AA14" s="2"/>
      <c r="AB14" s="11" t="s">
        <v>47</v>
      </c>
    </row>
    <row r="15" spans="2:28" s="491" customFormat="1" ht="76.5" customHeight="1">
      <c r="B15" s="702" t="s">
        <v>509</v>
      </c>
      <c r="C15" s="698" t="s">
        <v>510</v>
      </c>
      <c r="D15" s="698" t="s">
        <v>511</v>
      </c>
      <c r="E15" s="698" t="s">
        <v>512</v>
      </c>
      <c r="F15" s="698" t="s">
        <v>513</v>
      </c>
      <c r="G15" s="698"/>
      <c r="H15" s="698"/>
      <c r="I15" s="698" t="s">
        <v>514</v>
      </c>
      <c r="J15" s="698" t="s">
        <v>515</v>
      </c>
      <c r="K15" s="698"/>
      <c r="L15" s="698" t="s">
        <v>516</v>
      </c>
      <c r="M15" s="698"/>
      <c r="N15" s="698"/>
      <c r="O15" s="698"/>
      <c r="P15" s="698" t="s">
        <v>517</v>
      </c>
      <c r="Q15" s="700" t="s">
        <v>518</v>
      </c>
      <c r="R15" s="698" t="s">
        <v>519</v>
      </c>
      <c r="S15" s="698"/>
      <c r="T15" s="698" t="s">
        <v>520</v>
      </c>
      <c r="U15" s="698"/>
      <c r="V15" s="698" t="s">
        <v>521</v>
      </c>
      <c r="W15" s="698"/>
      <c r="X15" s="698"/>
      <c r="Y15" s="699" t="s">
        <v>522</v>
      </c>
      <c r="Z15" s="699"/>
      <c r="AA15" s="699"/>
      <c r="AB15" s="699"/>
    </row>
    <row r="16" spans="2:28" s="491" customFormat="1" ht="32.25" customHeight="1">
      <c r="B16" s="702"/>
      <c r="C16" s="698"/>
      <c r="D16" s="698"/>
      <c r="E16" s="698"/>
      <c r="F16" s="672" t="s">
        <v>523</v>
      </c>
      <c r="G16" s="672" t="s">
        <v>524</v>
      </c>
      <c r="H16" s="672" t="s">
        <v>525</v>
      </c>
      <c r="I16" s="698"/>
      <c r="J16" s="672" t="s">
        <v>526</v>
      </c>
      <c r="K16" s="672" t="s">
        <v>527</v>
      </c>
      <c r="L16" s="672" t="s">
        <v>528</v>
      </c>
      <c r="M16" s="672" t="s">
        <v>529</v>
      </c>
      <c r="N16" s="672" t="s">
        <v>530</v>
      </c>
      <c r="O16" s="672" t="s">
        <v>531</v>
      </c>
      <c r="P16" s="698"/>
      <c r="Q16" s="698"/>
      <c r="R16" s="672" t="s">
        <v>532</v>
      </c>
      <c r="S16" s="672" t="s">
        <v>533</v>
      </c>
      <c r="T16" s="672" t="s">
        <v>534</v>
      </c>
      <c r="U16" s="672" t="s">
        <v>533</v>
      </c>
      <c r="V16" s="672" t="s">
        <v>535</v>
      </c>
      <c r="W16" s="672" t="s">
        <v>536</v>
      </c>
      <c r="X16" s="672" t="s">
        <v>537</v>
      </c>
      <c r="Y16" s="672" t="s">
        <v>538</v>
      </c>
      <c r="Z16" s="672"/>
      <c r="AA16" s="696" t="s">
        <v>539</v>
      </c>
      <c r="AB16" s="696"/>
    </row>
    <row r="17" spans="2:28" ht="87.75" customHeight="1">
      <c r="B17" s="702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173" t="s">
        <v>540</v>
      </c>
      <c r="Z17" s="173" t="s">
        <v>541</v>
      </c>
      <c r="AA17" s="497" t="s">
        <v>542</v>
      </c>
      <c r="AB17" s="496" t="s">
        <v>543</v>
      </c>
    </row>
    <row r="18" spans="2:28" ht="60.75" customHeight="1">
      <c r="B18" s="498"/>
      <c r="C18" s="173" t="s">
        <v>410</v>
      </c>
      <c r="D18" s="173"/>
      <c r="E18" s="173"/>
      <c r="F18" s="499">
        <f>F19+F145+F173</f>
        <v>265.1</v>
      </c>
      <c r="G18" s="499"/>
      <c r="H18" s="499">
        <f>H19+H145+H173</f>
        <v>150.60000000000002</v>
      </c>
      <c r="I18" s="173"/>
      <c r="J18" s="173"/>
      <c r="K18" s="173"/>
      <c r="L18" s="173"/>
      <c r="M18" s="173"/>
      <c r="N18" s="173"/>
      <c r="O18" s="173"/>
      <c r="P18" s="173">
        <f>P19+P145</f>
        <v>0</v>
      </c>
      <c r="Q18" s="173">
        <f>Q19+Q145</f>
        <v>0</v>
      </c>
      <c r="R18" s="499">
        <f>R19+R145+R173</f>
        <v>351.53060000000005</v>
      </c>
      <c r="S18" s="499">
        <f>R18-'приложение 1.1'!I18</f>
        <v>0</v>
      </c>
      <c r="T18" s="499">
        <f>T19+T145+T173</f>
        <v>351.53200000000004</v>
      </c>
      <c r="U18" s="173"/>
      <c r="V18" s="173"/>
      <c r="W18" s="173"/>
      <c r="X18" s="173"/>
      <c r="Y18" s="173"/>
      <c r="Z18" s="173"/>
      <c r="AA18" s="497"/>
      <c r="AB18" s="496"/>
    </row>
    <row r="19" spans="2:28" ht="28.5">
      <c r="B19" s="500">
        <v>1</v>
      </c>
      <c r="C19" s="172" t="s">
        <v>73</v>
      </c>
      <c r="D19" s="173"/>
      <c r="E19" s="173"/>
      <c r="F19" s="499">
        <f>SUM(F21:F138)</f>
        <v>263.1</v>
      </c>
      <c r="G19" s="499"/>
      <c r="H19" s="499">
        <f>SUM(H21:H138)</f>
        <v>136.98000000000002</v>
      </c>
      <c r="I19" s="173"/>
      <c r="J19" s="173"/>
      <c r="K19" s="173"/>
      <c r="L19" s="173"/>
      <c r="M19" s="173"/>
      <c r="N19" s="173"/>
      <c r="O19" s="173"/>
      <c r="P19" s="173">
        <f>SUM(P21:P138)</f>
        <v>0</v>
      </c>
      <c r="Q19" s="173">
        <f>SUM(Q21:Q138)</f>
        <v>0</v>
      </c>
      <c r="R19" s="499">
        <f>SUM(R21:R138)</f>
        <v>295.8466</v>
      </c>
      <c r="S19" s="499">
        <f>R19-'приложение 1.1'!I19</f>
        <v>0</v>
      </c>
      <c r="T19" s="499">
        <f>SUM(T21:T138)</f>
        <v>295.8466</v>
      </c>
      <c r="U19" s="173"/>
      <c r="V19" s="173"/>
      <c r="W19" s="173"/>
      <c r="X19" s="173"/>
      <c r="Y19" s="173"/>
      <c r="Z19" s="173"/>
      <c r="AA19" s="173"/>
      <c r="AB19" s="501"/>
    </row>
    <row r="20" spans="2:28" ht="28.5">
      <c r="B20" s="502" t="s">
        <v>74</v>
      </c>
      <c r="C20" s="503" t="s">
        <v>75</v>
      </c>
      <c r="D20" s="504"/>
      <c r="E20" s="504"/>
      <c r="F20" s="504"/>
      <c r="G20" s="504"/>
      <c r="H20" s="505"/>
      <c r="I20" s="504"/>
      <c r="J20" s="504"/>
      <c r="K20" s="504"/>
      <c r="L20" s="504"/>
      <c r="M20" s="504"/>
      <c r="N20" s="504"/>
      <c r="O20" s="504"/>
      <c r="P20" s="504"/>
      <c r="Q20" s="504"/>
      <c r="R20" s="505"/>
      <c r="S20" s="505"/>
      <c r="T20" s="505"/>
      <c r="U20" s="504"/>
      <c r="V20" s="504"/>
      <c r="W20" s="504"/>
      <c r="X20" s="504"/>
      <c r="Y20" s="504"/>
      <c r="Z20" s="504"/>
      <c r="AA20" s="504"/>
      <c r="AB20" s="506"/>
    </row>
    <row r="21" spans="2:28" s="507" customFormat="1" ht="75">
      <c r="B21" s="34" t="s">
        <v>76</v>
      </c>
      <c r="C21" s="508" t="s">
        <v>77</v>
      </c>
      <c r="D21" s="509" t="s">
        <v>544</v>
      </c>
      <c r="E21" s="509" t="s">
        <v>545</v>
      </c>
      <c r="F21" s="200"/>
      <c r="G21" s="200"/>
      <c r="H21" s="200">
        <v>50.5</v>
      </c>
      <c r="I21" s="510"/>
      <c r="J21" s="200">
        <v>2014</v>
      </c>
      <c r="K21" s="200">
        <v>2016</v>
      </c>
      <c r="L21" s="200" t="s">
        <v>379</v>
      </c>
      <c r="M21" s="200" t="s">
        <v>379</v>
      </c>
      <c r="N21" s="200" t="s">
        <v>379</v>
      </c>
      <c r="O21" s="200" t="s">
        <v>379</v>
      </c>
      <c r="P21" s="200">
        <v>0</v>
      </c>
      <c r="Q21" s="200">
        <v>0</v>
      </c>
      <c r="R21" s="511">
        <f>'приложение 1.1'!I21</f>
        <v>26.21826</v>
      </c>
      <c r="S21" s="512"/>
      <c r="T21" s="513">
        <f aca="true" t="shared" si="0" ref="T21:T138">R21</f>
        <v>26.21826</v>
      </c>
      <c r="U21" s="200"/>
      <c r="V21" s="514" t="s">
        <v>546</v>
      </c>
      <c r="W21" s="514" t="s">
        <v>547</v>
      </c>
      <c r="X21" s="514" t="s">
        <v>548</v>
      </c>
      <c r="Y21" s="515">
        <f>'[2]1.1.1.'!$F$21/1000000</f>
        <v>9.933396004793057</v>
      </c>
      <c r="Z21" s="516">
        <f>'[2]1.1.1.'!$L$86</f>
        <v>0.08569705458410337</v>
      </c>
      <c r="AA21" s="517">
        <f>'[2]1.1.1.'!$F$19</f>
        <v>8.240079713929031</v>
      </c>
      <c r="AB21" s="518">
        <f>'[2]1.1.1.'!$F$20</f>
        <v>8.936061193642866</v>
      </c>
    </row>
    <row r="22" spans="2:28" s="507" customFormat="1" ht="75">
      <c r="B22" s="48" t="s">
        <v>79</v>
      </c>
      <c r="C22" s="206" t="s">
        <v>80</v>
      </c>
      <c r="D22" s="519" t="s">
        <v>544</v>
      </c>
      <c r="E22" s="519" t="s">
        <v>545</v>
      </c>
      <c r="F22" s="210"/>
      <c r="G22" s="210"/>
      <c r="H22" s="210">
        <v>18.7</v>
      </c>
      <c r="I22" s="520"/>
      <c r="J22" s="210">
        <v>2014</v>
      </c>
      <c r="K22" s="210">
        <v>2016</v>
      </c>
      <c r="L22" s="210" t="s">
        <v>379</v>
      </c>
      <c r="M22" s="210" t="s">
        <v>379</v>
      </c>
      <c r="N22" s="210" t="s">
        <v>379</v>
      </c>
      <c r="O22" s="210" t="s">
        <v>379</v>
      </c>
      <c r="P22" s="210">
        <v>0</v>
      </c>
      <c r="Q22" s="210">
        <v>0</v>
      </c>
      <c r="R22" s="521">
        <f>'приложение 1.1'!I22</f>
        <v>6.4346</v>
      </c>
      <c r="S22" s="522"/>
      <c r="T22" s="523">
        <f t="shared" si="0"/>
        <v>6.4346</v>
      </c>
      <c r="U22" s="210"/>
      <c r="V22" s="266" t="s">
        <v>546</v>
      </c>
      <c r="W22" s="524" t="s">
        <v>549</v>
      </c>
      <c r="X22" s="525" t="s">
        <v>548</v>
      </c>
      <c r="Y22" s="520">
        <f>'[2]1.1.2.'!$F$21/1000000</f>
        <v>2.6886014636719935</v>
      </c>
      <c r="Z22" s="526">
        <f>'[2]1.1.2.'!$L$86</f>
        <v>0.08569704156281732</v>
      </c>
      <c r="AA22" s="522">
        <f>'[2]1.1.2.'!$F$19</f>
        <v>8.24007993831886</v>
      </c>
      <c r="AB22" s="522">
        <f>'[2]1.1.2.'!$F$20</f>
        <v>8.936061509198092</v>
      </c>
    </row>
    <row r="23" spans="2:28" s="507" customFormat="1" ht="87.75" customHeight="1">
      <c r="B23" s="48" t="s">
        <v>81</v>
      </c>
      <c r="C23" s="527" t="s">
        <v>82</v>
      </c>
      <c r="D23" s="519" t="s">
        <v>544</v>
      </c>
      <c r="E23" s="519" t="s">
        <v>550</v>
      </c>
      <c r="F23" s="210"/>
      <c r="G23" s="210"/>
      <c r="H23" s="210">
        <v>12.5</v>
      </c>
      <c r="I23" s="520"/>
      <c r="J23" s="210">
        <v>2014</v>
      </c>
      <c r="K23" s="210">
        <v>2014</v>
      </c>
      <c r="L23" s="210" t="s">
        <v>379</v>
      </c>
      <c r="M23" s="210" t="s">
        <v>379</v>
      </c>
      <c r="N23" s="210" t="s">
        <v>379</v>
      </c>
      <c r="O23" s="210" t="s">
        <v>379</v>
      </c>
      <c r="P23" s="210">
        <v>0</v>
      </c>
      <c r="Q23" s="210">
        <v>0</v>
      </c>
      <c r="R23" s="521">
        <f>'приложение 1.1'!I23</f>
        <v>3.9299999999999997</v>
      </c>
      <c r="S23" s="522"/>
      <c r="T23" s="523">
        <f t="shared" si="0"/>
        <v>3.9299999999999997</v>
      </c>
      <c r="U23" s="210"/>
      <c r="V23" s="266" t="s">
        <v>551</v>
      </c>
      <c r="W23" s="528" t="s">
        <v>552</v>
      </c>
      <c r="X23" s="266" t="s">
        <v>548</v>
      </c>
      <c r="Y23" s="529">
        <f>'[2]1.1.3.'!$F$21/1000000</f>
        <v>1.9045122224147355</v>
      </c>
      <c r="Z23" s="530">
        <f>'[2]1.1.3.'!$L$86</f>
        <v>0.09254081973823092</v>
      </c>
      <c r="AA23" s="512">
        <f>'[2]1.1.3.'!$F$19</f>
        <v>8.14537915279376</v>
      </c>
      <c r="AB23" s="531">
        <f>'[2]1.1.3.'!$F$20</f>
        <v>8.793103158865135</v>
      </c>
    </row>
    <row r="24" spans="2:28" s="507" customFormat="1" ht="132.75" customHeight="1">
      <c r="B24" s="48" t="s">
        <v>83</v>
      </c>
      <c r="C24" s="265" t="s">
        <v>84</v>
      </c>
      <c r="D24" s="519" t="s">
        <v>544</v>
      </c>
      <c r="E24" s="519" t="s">
        <v>553</v>
      </c>
      <c r="F24" s="210"/>
      <c r="G24" s="210"/>
      <c r="H24" s="210">
        <v>1.52</v>
      </c>
      <c r="I24" s="520"/>
      <c r="J24" s="210">
        <v>2014</v>
      </c>
      <c r="K24" s="210">
        <v>2014</v>
      </c>
      <c r="L24" s="210" t="s">
        <v>379</v>
      </c>
      <c r="M24" s="210" t="s">
        <v>379</v>
      </c>
      <c r="N24" s="210" t="s">
        <v>379</v>
      </c>
      <c r="O24" s="210" t="s">
        <v>379</v>
      </c>
      <c r="P24" s="210">
        <v>0</v>
      </c>
      <c r="Q24" s="210">
        <v>0</v>
      </c>
      <c r="R24" s="521">
        <f>'приложение 1.1'!I24</f>
        <v>0.81</v>
      </c>
      <c r="S24" s="522"/>
      <c r="T24" s="523">
        <f t="shared" si="0"/>
        <v>0.81</v>
      </c>
      <c r="U24" s="210"/>
      <c r="V24" s="207" t="s">
        <v>554</v>
      </c>
      <c r="W24" s="207" t="s">
        <v>555</v>
      </c>
      <c r="X24" s="207" t="s">
        <v>556</v>
      </c>
      <c r="Y24" s="520">
        <f>'[2]1.1.4.'!$F$21/1000000</f>
        <v>0.4950102616519703</v>
      </c>
      <c r="Z24" s="526">
        <f>'[2]1.1.4.'!$L$86</f>
        <v>0.10511826135664415</v>
      </c>
      <c r="AA24" s="522">
        <f>'[2]1.1.4.'!$F$19</f>
        <v>7.943687379014273</v>
      </c>
      <c r="AB24" s="532">
        <f>'[2]1.1.4.'!$F$20</f>
        <v>8.532434002097244</v>
      </c>
    </row>
    <row r="25" spans="2:28" s="507" customFormat="1" ht="120">
      <c r="B25" s="48" t="s">
        <v>85</v>
      </c>
      <c r="C25" s="265" t="s">
        <v>86</v>
      </c>
      <c r="D25" s="519" t="s">
        <v>544</v>
      </c>
      <c r="E25" s="519" t="s">
        <v>557</v>
      </c>
      <c r="F25" s="210"/>
      <c r="G25" s="210"/>
      <c r="H25" s="210">
        <v>0.56</v>
      </c>
      <c r="I25" s="520"/>
      <c r="J25" s="210">
        <v>2014</v>
      </c>
      <c r="K25" s="210">
        <v>2014</v>
      </c>
      <c r="L25" s="210" t="s">
        <v>379</v>
      </c>
      <c r="M25" s="210" t="s">
        <v>379</v>
      </c>
      <c r="N25" s="210" t="s">
        <v>379</v>
      </c>
      <c r="O25" s="210" t="s">
        <v>379</v>
      </c>
      <c r="P25" s="210">
        <v>0</v>
      </c>
      <c r="Q25" s="210">
        <v>0</v>
      </c>
      <c r="R25" s="521">
        <f>'приложение 1.1'!I25</f>
        <v>0.315</v>
      </c>
      <c r="S25" s="522"/>
      <c r="T25" s="523">
        <f t="shared" si="0"/>
        <v>0.315</v>
      </c>
      <c r="U25" s="210"/>
      <c r="V25" s="207" t="s">
        <v>554</v>
      </c>
      <c r="W25" s="207" t="s">
        <v>555</v>
      </c>
      <c r="X25" s="207" t="s">
        <v>556</v>
      </c>
      <c r="Y25" s="520">
        <f>'[2]1.1.5.'!$F$21/1000000</f>
        <v>0.19248864563050846</v>
      </c>
      <c r="Z25" s="526">
        <f>'[2]1.1.5.'!$L$86</f>
        <v>0.10511348278000243</v>
      </c>
      <c r="AA25" s="522">
        <f>'[2]1.1.5.'!$F$19</f>
        <v>7.943786815718785</v>
      </c>
      <c r="AB25" s="532">
        <f>'[2]1.1.5.'!$F$20</f>
        <v>8.532529127995259</v>
      </c>
    </row>
    <row r="26" spans="2:28" s="507" customFormat="1" ht="120">
      <c r="B26" s="48" t="s">
        <v>87</v>
      </c>
      <c r="C26" s="206" t="s">
        <v>88</v>
      </c>
      <c r="D26" s="519" t="s">
        <v>544</v>
      </c>
      <c r="E26" s="519" t="s">
        <v>558</v>
      </c>
      <c r="F26" s="210"/>
      <c r="G26" s="210"/>
      <c r="H26" s="210">
        <v>0.34</v>
      </c>
      <c r="I26" s="520"/>
      <c r="J26" s="210">
        <v>2014</v>
      </c>
      <c r="K26" s="210">
        <v>2014</v>
      </c>
      <c r="L26" s="210" t="s">
        <v>379</v>
      </c>
      <c r="M26" s="210" t="s">
        <v>379</v>
      </c>
      <c r="N26" s="210" t="s">
        <v>379</v>
      </c>
      <c r="O26" s="210" t="s">
        <v>379</v>
      </c>
      <c r="P26" s="210">
        <v>0</v>
      </c>
      <c r="Q26" s="210">
        <v>0</v>
      </c>
      <c r="R26" s="521">
        <f>'приложение 1.1'!I26</f>
        <v>0.27</v>
      </c>
      <c r="S26" s="522"/>
      <c r="T26" s="523">
        <f t="shared" si="0"/>
        <v>0.27</v>
      </c>
      <c r="U26" s="210"/>
      <c r="V26" s="207" t="s">
        <v>554</v>
      </c>
      <c r="W26" s="207" t="s">
        <v>555</v>
      </c>
      <c r="X26" s="207" t="s">
        <v>556</v>
      </c>
      <c r="Y26" s="520">
        <f>'[2]1.1.6. '!$F$21/1000000</f>
        <v>0.16567207547671453</v>
      </c>
      <c r="Z26" s="526">
        <f>'[2]1.1.6. '!$L$86</f>
        <v>0.10538721251553129</v>
      </c>
      <c r="AA26" s="522">
        <f>'[2]1.1.6. '!$F$19</f>
        <v>7.935272278762887</v>
      </c>
      <c r="AB26" s="532">
        <f>'[2]1.1.6. '!$F$20</f>
        <v>8.525368403681528</v>
      </c>
    </row>
    <row r="27" spans="2:28" s="507" customFormat="1" ht="116.25" customHeight="1">
      <c r="B27" s="48" t="s">
        <v>89</v>
      </c>
      <c r="C27" s="533" t="s">
        <v>90</v>
      </c>
      <c r="D27" s="519" t="s">
        <v>544</v>
      </c>
      <c r="E27" s="519" t="s">
        <v>559</v>
      </c>
      <c r="F27" s="210">
        <v>0.4</v>
      </c>
      <c r="G27" s="210"/>
      <c r="H27" s="210"/>
      <c r="I27" s="520"/>
      <c r="J27" s="210">
        <v>2014</v>
      </c>
      <c r="K27" s="210">
        <v>2014</v>
      </c>
      <c r="L27" s="210" t="s">
        <v>379</v>
      </c>
      <c r="M27" s="210" t="s">
        <v>379</v>
      </c>
      <c r="N27" s="210" t="s">
        <v>379</v>
      </c>
      <c r="O27" s="210" t="s">
        <v>379</v>
      </c>
      <c r="P27" s="210">
        <v>0</v>
      </c>
      <c r="Q27" s="210">
        <v>0</v>
      </c>
      <c r="R27" s="521">
        <f>'приложение 1.1'!I27</f>
        <v>0.59</v>
      </c>
      <c r="S27" s="522"/>
      <c r="T27" s="523">
        <f t="shared" si="0"/>
        <v>0.59</v>
      </c>
      <c r="U27" s="210"/>
      <c r="V27" s="207" t="s">
        <v>560</v>
      </c>
      <c r="W27" s="207" t="s">
        <v>561</v>
      </c>
      <c r="X27" s="207" t="s">
        <v>562</v>
      </c>
      <c r="Y27" s="520">
        <f>'[2]1.1.7.'!$F$21/1000000</f>
        <v>0.21516769124272522</v>
      </c>
      <c r="Z27" s="526">
        <f>'[2]1.1.7.'!$L$86</f>
        <v>0.07642768855768489</v>
      </c>
      <c r="AA27" s="522">
        <f>'[2]1.1.7.'!$F$19</f>
        <v>8.574763253058043</v>
      </c>
      <c r="AB27" s="532">
        <f>'[2]1.1.7.'!$F$20</f>
        <v>9.183239330623715</v>
      </c>
    </row>
    <row r="28" spans="2:28" s="507" customFormat="1" ht="132" customHeight="1">
      <c r="B28" s="48" t="s">
        <v>91</v>
      </c>
      <c r="C28" s="265" t="s">
        <v>92</v>
      </c>
      <c r="D28" s="210" t="s">
        <v>544</v>
      </c>
      <c r="E28" s="210" t="s">
        <v>563</v>
      </c>
      <c r="F28" s="210" t="s">
        <v>37</v>
      </c>
      <c r="G28" s="210"/>
      <c r="H28" s="210">
        <v>0.7</v>
      </c>
      <c r="I28" s="520"/>
      <c r="J28" s="210">
        <v>2014</v>
      </c>
      <c r="K28" s="210">
        <v>2015</v>
      </c>
      <c r="L28" s="210" t="s">
        <v>379</v>
      </c>
      <c r="M28" s="210" t="s">
        <v>379</v>
      </c>
      <c r="N28" s="210" t="s">
        <v>379</v>
      </c>
      <c r="O28" s="210" t="s">
        <v>379</v>
      </c>
      <c r="P28" s="210">
        <v>0</v>
      </c>
      <c r="Q28" s="210">
        <v>0</v>
      </c>
      <c r="R28" s="521">
        <f>'приложение 1.1'!I28</f>
        <v>1.75</v>
      </c>
      <c r="S28" s="522"/>
      <c r="T28" s="523">
        <f t="shared" si="0"/>
        <v>1.75</v>
      </c>
      <c r="U28" s="210"/>
      <c r="V28" s="274" t="s">
        <v>554</v>
      </c>
      <c r="W28" s="207" t="s">
        <v>555</v>
      </c>
      <c r="X28" s="207" t="s">
        <v>556</v>
      </c>
      <c r="Y28" s="520">
        <f>'[2]1.1.8. '!$F$21/1000000</f>
        <v>1.0974106001575912</v>
      </c>
      <c r="Z28" s="526">
        <f>'[2]1.1.8. '!$L$86</f>
        <v>0.10688294566996981</v>
      </c>
      <c r="AA28" s="522">
        <f>'[2]1.1.8. '!$F$19</f>
        <v>7.889757842548046</v>
      </c>
      <c r="AB28" s="532">
        <f>'[2]1.1.8. '!$F$20</f>
        <v>8.486912764797472</v>
      </c>
    </row>
    <row r="29" spans="2:28" s="507" customFormat="1" ht="99.75" customHeight="1">
      <c r="B29" s="48" t="s">
        <v>93</v>
      </c>
      <c r="C29" s="534" t="s">
        <v>94</v>
      </c>
      <c r="D29" s="519" t="s">
        <v>544</v>
      </c>
      <c r="E29" s="519" t="s">
        <v>564</v>
      </c>
      <c r="F29" s="210">
        <v>2</v>
      </c>
      <c r="G29" s="210"/>
      <c r="H29" s="210"/>
      <c r="I29" s="520"/>
      <c r="J29" s="210">
        <v>2014</v>
      </c>
      <c r="K29" s="210">
        <v>2015</v>
      </c>
      <c r="L29" s="210" t="s">
        <v>379</v>
      </c>
      <c r="M29" s="210" t="s">
        <v>379</v>
      </c>
      <c r="N29" s="210" t="s">
        <v>379</v>
      </c>
      <c r="O29" s="210" t="s">
        <v>379</v>
      </c>
      <c r="P29" s="210">
        <v>0</v>
      </c>
      <c r="Q29" s="210">
        <v>0</v>
      </c>
      <c r="R29" s="521">
        <f>'приложение 1.1'!I29</f>
        <v>1.89</v>
      </c>
      <c r="S29" s="522"/>
      <c r="T29" s="523">
        <f t="shared" si="0"/>
        <v>1.89</v>
      </c>
      <c r="U29" s="210"/>
      <c r="V29" s="207" t="s">
        <v>565</v>
      </c>
      <c r="W29" s="207" t="s">
        <v>566</v>
      </c>
      <c r="X29" s="207" t="s">
        <v>567</v>
      </c>
      <c r="Y29" s="520">
        <f>'[2]1.1.9.'!$F$21/1000000</f>
        <v>0.47430711287852817</v>
      </c>
      <c r="Z29" s="526">
        <f>'[2]1.1.9.'!$L$86</f>
        <v>0.06438539854319614</v>
      </c>
      <c r="AA29" s="522">
        <f>'[2]1.1.9.'!$F$19</f>
        <v>8.801861004343833</v>
      </c>
      <c r="AB29" s="532">
        <f>'[2]1.1.9.'!$F$20</f>
        <v>9.380277655032005</v>
      </c>
    </row>
    <row r="30" spans="2:28" s="507" customFormat="1" ht="133.5" customHeight="1">
      <c r="B30" s="48" t="s">
        <v>95</v>
      </c>
      <c r="C30" s="534" t="s">
        <v>96</v>
      </c>
      <c r="D30" s="519" t="s">
        <v>544</v>
      </c>
      <c r="E30" s="519" t="s">
        <v>564</v>
      </c>
      <c r="F30" s="210">
        <v>2</v>
      </c>
      <c r="G30" s="210"/>
      <c r="H30" s="210"/>
      <c r="I30" s="520"/>
      <c r="J30" s="210">
        <v>2014</v>
      </c>
      <c r="K30" s="210">
        <v>2015</v>
      </c>
      <c r="L30" s="210" t="s">
        <v>379</v>
      </c>
      <c r="M30" s="210" t="s">
        <v>379</v>
      </c>
      <c r="N30" s="210" t="s">
        <v>379</v>
      </c>
      <c r="O30" s="210" t="s">
        <v>379</v>
      </c>
      <c r="P30" s="210">
        <v>0</v>
      </c>
      <c r="Q30" s="210">
        <v>0</v>
      </c>
      <c r="R30" s="521">
        <f>'приложение 1.1'!I30</f>
        <v>2.133</v>
      </c>
      <c r="S30" s="522"/>
      <c r="T30" s="523">
        <f t="shared" si="0"/>
        <v>2.133</v>
      </c>
      <c r="U30" s="210"/>
      <c r="V30" s="207" t="s">
        <v>554</v>
      </c>
      <c r="W30" s="207" t="s">
        <v>555</v>
      </c>
      <c r="X30" s="207" t="s">
        <v>556</v>
      </c>
      <c r="Y30" s="520">
        <f>'[2]1.1.10.'!$F$21/1000000</f>
        <v>0.5417020208646633</v>
      </c>
      <c r="Z30" s="526">
        <f>'[2]1.1.10.'!$L$86</f>
        <v>0.06473585197490461</v>
      </c>
      <c r="AA30" s="522">
        <f>'[2]1.1.10.'!$F$19</f>
        <v>8.792924908038549</v>
      </c>
      <c r="AB30" s="532">
        <f>'[2]1.1.10.'!$F$20</f>
        <v>9.373302386080168</v>
      </c>
    </row>
    <row r="31" spans="2:28" s="507" customFormat="1" ht="90">
      <c r="B31" s="48" t="s">
        <v>97</v>
      </c>
      <c r="C31" s="533" t="s">
        <v>98</v>
      </c>
      <c r="D31" s="519" t="s">
        <v>544</v>
      </c>
      <c r="E31" s="519" t="s">
        <v>568</v>
      </c>
      <c r="F31" s="210">
        <v>2</v>
      </c>
      <c r="G31" s="210"/>
      <c r="H31" s="210"/>
      <c r="I31" s="520"/>
      <c r="J31" s="210">
        <v>2014</v>
      </c>
      <c r="K31" s="210">
        <v>2014</v>
      </c>
      <c r="L31" s="210" t="s">
        <v>379</v>
      </c>
      <c r="M31" s="210" t="s">
        <v>379</v>
      </c>
      <c r="N31" s="210" t="s">
        <v>379</v>
      </c>
      <c r="O31" s="210" t="s">
        <v>379</v>
      </c>
      <c r="P31" s="210">
        <v>0</v>
      </c>
      <c r="Q31" s="210">
        <v>0</v>
      </c>
      <c r="R31" s="521">
        <f>'приложение 1.1'!I31</f>
        <v>1.72</v>
      </c>
      <c r="S31" s="522"/>
      <c r="T31" s="523">
        <f t="shared" si="0"/>
        <v>1.72</v>
      </c>
      <c r="U31" s="210"/>
      <c r="V31" s="207" t="s">
        <v>565</v>
      </c>
      <c r="W31" s="207" t="s">
        <v>566</v>
      </c>
      <c r="X31" s="207" t="s">
        <v>567</v>
      </c>
      <c r="Y31" s="520">
        <f>'[2]1.1.11.'!$F$21/1000000</f>
        <v>0.5904538108563071</v>
      </c>
      <c r="Z31" s="526">
        <f>'[2]1.1.11.'!$L$86</f>
        <v>0.07403958212581752</v>
      </c>
      <c r="AA31" s="522">
        <f>'[2]1.1.11.'!$F$19</f>
        <v>8.633091395718806</v>
      </c>
      <c r="AB31" s="532">
        <f>'[2]1.1.11.'!$F$20</f>
        <v>9.227575143011741</v>
      </c>
    </row>
    <row r="32" spans="2:28" s="507" customFormat="1" ht="103.5" customHeight="1">
      <c r="B32" s="48" t="s">
        <v>99</v>
      </c>
      <c r="C32" s="533" t="s">
        <v>100</v>
      </c>
      <c r="D32" s="519" t="s">
        <v>544</v>
      </c>
      <c r="E32" s="519" t="s">
        <v>568</v>
      </c>
      <c r="F32" s="210">
        <v>2</v>
      </c>
      <c r="G32" s="210"/>
      <c r="H32" s="210"/>
      <c r="I32" s="520"/>
      <c r="J32" s="210">
        <v>2014</v>
      </c>
      <c r="K32" s="210">
        <v>2014</v>
      </c>
      <c r="L32" s="210" t="s">
        <v>379</v>
      </c>
      <c r="M32" s="210" t="s">
        <v>379</v>
      </c>
      <c r="N32" s="210" t="s">
        <v>379</v>
      </c>
      <c r="O32" s="210" t="s">
        <v>379</v>
      </c>
      <c r="P32" s="210">
        <v>0</v>
      </c>
      <c r="Q32" s="210">
        <v>0</v>
      </c>
      <c r="R32" s="521">
        <f>'приложение 1.1'!I32</f>
        <v>1.72</v>
      </c>
      <c r="S32" s="522"/>
      <c r="T32" s="523">
        <f t="shared" si="0"/>
        <v>1.72</v>
      </c>
      <c r="U32" s="210"/>
      <c r="V32" s="207" t="s">
        <v>565</v>
      </c>
      <c r="W32" s="207" t="s">
        <v>566</v>
      </c>
      <c r="X32" s="207" t="s">
        <v>567</v>
      </c>
      <c r="Y32" s="520">
        <f>'[2]1.1.12.'!$F$21/1000000</f>
        <v>0.5946924041115951</v>
      </c>
      <c r="Z32" s="526">
        <f>'[2]1.1.12.'!$L$86</f>
        <v>0.07431505963077045</v>
      </c>
      <c r="AA32" s="522">
        <f>'[2]1.1.12.'!$F$19</f>
        <v>8.626329627875343</v>
      </c>
      <c r="AB32" s="532">
        <f>'[2]1.1.12.'!$F$20</f>
        <v>9.222449158066489</v>
      </c>
    </row>
    <row r="33" spans="2:28" s="507" customFormat="1" ht="105" customHeight="1">
      <c r="B33" s="48" t="s">
        <v>101</v>
      </c>
      <c r="C33" s="533" t="s">
        <v>102</v>
      </c>
      <c r="D33" s="519" t="s">
        <v>544</v>
      </c>
      <c r="E33" s="519" t="s">
        <v>559</v>
      </c>
      <c r="F33" s="210">
        <v>2</v>
      </c>
      <c r="G33" s="210"/>
      <c r="H33" s="210"/>
      <c r="I33" s="520"/>
      <c r="J33" s="210">
        <v>2014</v>
      </c>
      <c r="K33" s="210">
        <v>2014</v>
      </c>
      <c r="L33" s="210" t="s">
        <v>379</v>
      </c>
      <c r="M33" s="210" t="s">
        <v>379</v>
      </c>
      <c r="N33" s="210" t="s">
        <v>379</v>
      </c>
      <c r="O33" s="210" t="s">
        <v>379</v>
      </c>
      <c r="P33" s="210">
        <v>0</v>
      </c>
      <c r="Q33" s="210">
        <v>0</v>
      </c>
      <c r="R33" s="521">
        <f>'приложение 1.1'!I33</f>
        <v>1.37</v>
      </c>
      <c r="S33" s="522"/>
      <c r="T33" s="523">
        <f t="shared" si="0"/>
        <v>1.37</v>
      </c>
      <c r="U33" s="210"/>
      <c r="V33" s="207" t="s">
        <v>565</v>
      </c>
      <c r="W33" s="207" t="s">
        <v>566</v>
      </c>
      <c r="X33" s="207" t="s">
        <v>567</v>
      </c>
      <c r="Y33" s="520">
        <f>'[2]1.1.13.'!$F$21/1000000</f>
        <v>0.4908844788228732</v>
      </c>
      <c r="Z33" s="526">
        <f>'[2]1.1.13.'!$L$86</f>
        <v>0.07571675525305</v>
      </c>
      <c r="AA33" s="522">
        <f>'[2]1.1.13.'!$F$19</f>
        <v>8.592063127321383</v>
      </c>
      <c r="AB33" s="532">
        <f>'[2]1.1.13.'!$F$20</f>
        <v>9.196416317183735</v>
      </c>
    </row>
    <row r="34" spans="2:28" s="507" customFormat="1" ht="99.75" customHeight="1">
      <c r="B34" s="48" t="s">
        <v>103</v>
      </c>
      <c r="C34" s="534" t="s">
        <v>104</v>
      </c>
      <c r="D34" s="519" t="s">
        <v>544</v>
      </c>
      <c r="E34" s="519" t="s">
        <v>559</v>
      </c>
      <c r="F34" s="210">
        <v>0.16</v>
      </c>
      <c r="G34" s="210"/>
      <c r="H34" s="210"/>
      <c r="I34" s="520"/>
      <c r="J34" s="210">
        <v>2014</v>
      </c>
      <c r="K34" s="210">
        <v>2014</v>
      </c>
      <c r="L34" s="210" t="s">
        <v>379</v>
      </c>
      <c r="M34" s="210" t="s">
        <v>379</v>
      </c>
      <c r="N34" s="210" t="s">
        <v>379</v>
      </c>
      <c r="O34" s="210" t="s">
        <v>379</v>
      </c>
      <c r="P34" s="210">
        <v>0</v>
      </c>
      <c r="Q34" s="210">
        <v>0</v>
      </c>
      <c r="R34" s="521">
        <f>'приложение 1.1'!I34</f>
        <v>0.85</v>
      </c>
      <c r="S34" s="522"/>
      <c r="T34" s="523">
        <f t="shared" si="0"/>
        <v>0.85</v>
      </c>
      <c r="U34" s="210"/>
      <c r="V34" s="207" t="s">
        <v>565</v>
      </c>
      <c r="W34" s="207" t="s">
        <v>566</v>
      </c>
      <c r="X34" s="207" t="s">
        <v>567</v>
      </c>
      <c r="Y34" s="520">
        <f>'[2]1.1.14.'!$F$21/1000000</f>
        <v>0.2933372859245751</v>
      </c>
      <c r="Z34" s="526">
        <f>'[2]1.1.14.'!$L$86</f>
        <v>0.0742425025168656</v>
      </c>
      <c r="AA34" s="522">
        <f>'[2]1.1.14.'!$F$19</f>
        <v>8.628114563346251</v>
      </c>
      <c r="AB34" s="532">
        <f>'[2]1.1.14.'!$F$20</f>
        <v>9.223801594284872</v>
      </c>
    </row>
    <row r="35" spans="2:28" s="507" customFormat="1" ht="101.25" customHeight="1">
      <c r="B35" s="48" t="s">
        <v>105</v>
      </c>
      <c r="C35" s="534" t="s">
        <v>106</v>
      </c>
      <c r="D35" s="519" t="s">
        <v>544</v>
      </c>
      <c r="E35" s="519" t="s">
        <v>559</v>
      </c>
      <c r="F35" s="210">
        <v>0.16</v>
      </c>
      <c r="G35" s="210"/>
      <c r="H35" s="210"/>
      <c r="I35" s="520"/>
      <c r="J35" s="210">
        <v>2014</v>
      </c>
      <c r="K35" s="210">
        <v>2014</v>
      </c>
      <c r="L35" s="210" t="s">
        <v>379</v>
      </c>
      <c r="M35" s="210" t="s">
        <v>379</v>
      </c>
      <c r="N35" s="210" t="s">
        <v>379</v>
      </c>
      <c r="O35" s="210" t="s">
        <v>379</v>
      </c>
      <c r="P35" s="210">
        <v>0</v>
      </c>
      <c r="Q35" s="210">
        <v>0</v>
      </c>
      <c r="R35" s="521">
        <f>'приложение 1.1'!I35</f>
        <v>0.85</v>
      </c>
      <c r="S35" s="522"/>
      <c r="T35" s="523">
        <f t="shared" si="0"/>
        <v>0.85</v>
      </c>
      <c r="U35" s="210"/>
      <c r="V35" s="207" t="s">
        <v>565</v>
      </c>
      <c r="W35" s="207" t="s">
        <v>566</v>
      </c>
      <c r="X35" s="207" t="s">
        <v>567</v>
      </c>
      <c r="Y35" s="520">
        <f>'[2]1.1.15.'!$F$21/1000000</f>
        <v>0.2686354925789655</v>
      </c>
      <c r="Z35" s="526">
        <f>'[2]1.1.15.'!$L$86</f>
        <v>0.0713375910060905</v>
      </c>
      <c r="AA35" s="522">
        <f>'[2]1.1.15.'!$F$19</f>
        <v>8.66840962238969</v>
      </c>
      <c r="AB35" s="532">
        <f>'[2]1.1.15.'!$F$20</f>
        <v>9.263603587385097</v>
      </c>
    </row>
    <row r="36" spans="2:28" s="507" customFormat="1" ht="98.25" customHeight="1">
      <c r="B36" s="48" t="s">
        <v>107</v>
      </c>
      <c r="C36" s="206" t="s">
        <v>108</v>
      </c>
      <c r="D36" s="519" t="s">
        <v>544</v>
      </c>
      <c r="E36" s="519" t="s">
        <v>559</v>
      </c>
      <c r="F36" s="210">
        <v>0.25</v>
      </c>
      <c r="G36" s="210"/>
      <c r="H36" s="210"/>
      <c r="I36" s="520"/>
      <c r="J36" s="210">
        <v>2014</v>
      </c>
      <c r="K36" s="210">
        <v>2014</v>
      </c>
      <c r="L36" s="210" t="s">
        <v>379</v>
      </c>
      <c r="M36" s="210" t="s">
        <v>379</v>
      </c>
      <c r="N36" s="210" t="s">
        <v>379</v>
      </c>
      <c r="O36" s="210" t="s">
        <v>379</v>
      </c>
      <c r="P36" s="210">
        <v>0</v>
      </c>
      <c r="Q36" s="210">
        <v>0</v>
      </c>
      <c r="R36" s="521">
        <f>'приложение 1.1'!I36</f>
        <v>0.51</v>
      </c>
      <c r="S36" s="522"/>
      <c r="T36" s="523">
        <f t="shared" si="0"/>
        <v>0.51</v>
      </c>
      <c r="U36" s="210"/>
      <c r="V36" s="207" t="s">
        <v>565</v>
      </c>
      <c r="W36" s="207" t="s">
        <v>566</v>
      </c>
      <c r="X36" s="207" t="s">
        <v>567</v>
      </c>
      <c r="Y36" s="520">
        <f>'[2]1.1.16.'!$F$21/1000000</f>
        <v>0.17633145957159796</v>
      </c>
      <c r="Z36" s="526">
        <f>'[2]1.1.16.'!$L$86</f>
        <v>0.07431472600262423</v>
      </c>
      <c r="AA36" s="522">
        <f>'[2]1.1.16.'!$F$19</f>
        <v>8.62633620502704</v>
      </c>
      <c r="AB36" s="532">
        <f>'[2]1.1.16.'!$F$20</f>
        <v>9.22245448566634</v>
      </c>
    </row>
    <row r="37" spans="2:28" s="507" customFormat="1" ht="98.25" customHeight="1">
      <c r="B37" s="48" t="s">
        <v>109</v>
      </c>
      <c r="C37" s="206" t="s">
        <v>110</v>
      </c>
      <c r="D37" s="519" t="s">
        <v>544</v>
      </c>
      <c r="E37" s="519" t="s">
        <v>559</v>
      </c>
      <c r="F37" s="210">
        <v>0.25</v>
      </c>
      <c r="G37" s="210"/>
      <c r="H37" s="210"/>
      <c r="I37" s="520"/>
      <c r="J37" s="210">
        <v>2014</v>
      </c>
      <c r="K37" s="210">
        <v>2014</v>
      </c>
      <c r="L37" s="210" t="s">
        <v>379</v>
      </c>
      <c r="M37" s="210" t="s">
        <v>379</v>
      </c>
      <c r="N37" s="210" t="s">
        <v>379</v>
      </c>
      <c r="O37" s="210" t="s">
        <v>379</v>
      </c>
      <c r="P37" s="210">
        <v>0</v>
      </c>
      <c r="Q37" s="210">
        <v>0</v>
      </c>
      <c r="R37" s="521">
        <f>'приложение 1.1'!I37</f>
        <v>0.51</v>
      </c>
      <c r="S37" s="522"/>
      <c r="T37" s="523">
        <f t="shared" si="0"/>
        <v>0.51</v>
      </c>
      <c r="U37" s="210"/>
      <c r="V37" s="207" t="s">
        <v>565</v>
      </c>
      <c r="W37" s="207" t="s">
        <v>566</v>
      </c>
      <c r="X37" s="207" t="s">
        <v>567</v>
      </c>
      <c r="Y37" s="520">
        <f>'[2]1.1.17.'!$F$21/1000000</f>
        <v>0.17567498983250518</v>
      </c>
      <c r="Z37" s="526">
        <f>'[2]1.1.17.'!$L$86</f>
        <v>0.074170842583698</v>
      </c>
      <c r="AA37" s="522">
        <f>'[2]1.1.17.'!$F$19</f>
        <v>8.629866615891025</v>
      </c>
      <c r="AB37" s="532">
        <f>'[2]1.1.17.'!$F$20</f>
        <v>9.225131349283975</v>
      </c>
    </row>
    <row r="38" spans="2:28" s="507" customFormat="1" ht="105" customHeight="1">
      <c r="B38" s="48" t="s">
        <v>111</v>
      </c>
      <c r="C38" s="206" t="s">
        <v>112</v>
      </c>
      <c r="D38" s="519" t="s">
        <v>544</v>
      </c>
      <c r="E38" s="519" t="s">
        <v>559</v>
      </c>
      <c r="F38" s="210">
        <v>0.25</v>
      </c>
      <c r="G38" s="210"/>
      <c r="H38" s="210"/>
      <c r="I38" s="520"/>
      <c r="J38" s="210">
        <v>2014</v>
      </c>
      <c r="K38" s="210">
        <v>2014</v>
      </c>
      <c r="L38" s="210" t="s">
        <v>379</v>
      </c>
      <c r="M38" s="210" t="s">
        <v>379</v>
      </c>
      <c r="N38" s="210" t="s">
        <v>379</v>
      </c>
      <c r="O38" s="210" t="s">
        <v>379</v>
      </c>
      <c r="P38" s="210">
        <v>0</v>
      </c>
      <c r="Q38" s="210">
        <v>0</v>
      </c>
      <c r="R38" s="521">
        <f>'приложение 1.1'!I38</f>
        <v>0.51</v>
      </c>
      <c r="S38" s="522"/>
      <c r="T38" s="523">
        <f t="shared" si="0"/>
        <v>0.51</v>
      </c>
      <c r="U38" s="210"/>
      <c r="V38" s="207" t="s">
        <v>565</v>
      </c>
      <c r="W38" s="207" t="s">
        <v>566</v>
      </c>
      <c r="X38" s="207" t="s">
        <v>567</v>
      </c>
      <c r="Y38" s="520">
        <f>'[2]1.1.18.'!$F$21/1000000</f>
        <v>0.17567498983250518</v>
      </c>
      <c r="Z38" s="526">
        <f>'[2]1.1.18.'!$L$86</f>
        <v>0.074170842583698</v>
      </c>
      <c r="AA38" s="522">
        <f>'[2]1.1.18.'!$F$19</f>
        <v>8.629866615891025</v>
      </c>
      <c r="AB38" s="532">
        <f>'[2]1.1.18.'!$F$20</f>
        <v>9.225131349283975</v>
      </c>
    </row>
    <row r="39" spans="2:28" s="507" customFormat="1" ht="98.25" customHeight="1">
      <c r="B39" s="48" t="s">
        <v>113</v>
      </c>
      <c r="C39" s="206" t="s">
        <v>114</v>
      </c>
      <c r="D39" s="519" t="s">
        <v>544</v>
      </c>
      <c r="E39" s="519" t="s">
        <v>559</v>
      </c>
      <c r="F39" s="210">
        <v>0.5</v>
      </c>
      <c r="G39" s="210"/>
      <c r="H39" s="210"/>
      <c r="I39" s="520"/>
      <c r="J39" s="210">
        <v>2014</v>
      </c>
      <c r="K39" s="210">
        <v>2014</v>
      </c>
      <c r="L39" s="210" t="s">
        <v>379</v>
      </c>
      <c r="M39" s="210" t="s">
        <v>379</v>
      </c>
      <c r="N39" s="210" t="s">
        <v>379</v>
      </c>
      <c r="O39" s="210" t="s">
        <v>379</v>
      </c>
      <c r="P39" s="210">
        <v>0</v>
      </c>
      <c r="Q39" s="210">
        <v>0</v>
      </c>
      <c r="R39" s="521">
        <f>'приложение 1.1'!I39</f>
        <v>1.11</v>
      </c>
      <c r="S39" s="522"/>
      <c r="T39" s="523">
        <f t="shared" si="0"/>
        <v>1.11</v>
      </c>
      <c r="U39" s="210"/>
      <c r="V39" s="207" t="s">
        <v>565</v>
      </c>
      <c r="W39" s="207" t="s">
        <v>566</v>
      </c>
      <c r="X39" s="207" t="s">
        <v>567</v>
      </c>
      <c r="Y39" s="520">
        <f>'[2]1.1.19.'!$F$21/1000000</f>
        <v>0.3823671167829367</v>
      </c>
      <c r="Z39" s="526">
        <f>'[2]1.1.19.'!$L$86</f>
        <v>0.0741723163073591</v>
      </c>
      <c r="AA39" s="522">
        <f>'[2]1.1.19.'!$F$19</f>
        <v>8.629837590235267</v>
      </c>
      <c r="AB39" s="532">
        <f>'[2]1.1.19.'!$F$20</f>
        <v>9.225107784170554</v>
      </c>
    </row>
    <row r="40" spans="2:28" s="507" customFormat="1" ht="102" customHeight="1">
      <c r="B40" s="48" t="s">
        <v>115</v>
      </c>
      <c r="C40" s="533" t="s">
        <v>116</v>
      </c>
      <c r="D40" s="519" t="s">
        <v>544</v>
      </c>
      <c r="E40" s="519" t="s">
        <v>559</v>
      </c>
      <c r="F40" s="210">
        <v>0.16</v>
      </c>
      <c r="G40" s="210"/>
      <c r="H40" s="210"/>
      <c r="I40" s="520"/>
      <c r="J40" s="210">
        <v>2014</v>
      </c>
      <c r="K40" s="210">
        <v>2014</v>
      </c>
      <c r="L40" s="210" t="s">
        <v>379</v>
      </c>
      <c r="M40" s="210" t="s">
        <v>379</v>
      </c>
      <c r="N40" s="210" t="s">
        <v>379</v>
      </c>
      <c r="O40" s="210" t="s">
        <v>379</v>
      </c>
      <c r="P40" s="210">
        <v>0</v>
      </c>
      <c r="Q40" s="210">
        <v>0</v>
      </c>
      <c r="R40" s="521">
        <f>'приложение 1.1'!I40</f>
        <v>0.51</v>
      </c>
      <c r="S40" s="522"/>
      <c r="T40" s="523">
        <f t="shared" si="0"/>
        <v>0.51</v>
      </c>
      <c r="U40" s="210"/>
      <c r="V40" s="207" t="s">
        <v>565</v>
      </c>
      <c r="W40" s="207" t="s">
        <v>566</v>
      </c>
      <c r="X40" s="207" t="s">
        <v>567</v>
      </c>
      <c r="Y40" s="520">
        <f>'[2]1.1.20.'!$F$21/1000000</f>
        <v>0.17567498983250518</v>
      </c>
      <c r="Z40" s="526">
        <f>'[2]1.1.20.'!$L$86</f>
        <v>0.074170842583698</v>
      </c>
      <c r="AA40" s="522">
        <f>'[2]1.1.20.'!$F$19</f>
        <v>8.629866615891025</v>
      </c>
      <c r="AB40" s="532">
        <f>'[2]1.1.20.'!$F$20</f>
        <v>9.225131349283975</v>
      </c>
    </row>
    <row r="41" spans="2:28" s="507" customFormat="1" ht="93.75" customHeight="1">
      <c r="B41" s="48" t="s">
        <v>117</v>
      </c>
      <c r="C41" s="533" t="s">
        <v>118</v>
      </c>
      <c r="D41" s="519" t="s">
        <v>544</v>
      </c>
      <c r="E41" s="519" t="s">
        <v>559</v>
      </c>
      <c r="F41" s="210">
        <v>1.26</v>
      </c>
      <c r="G41" s="210"/>
      <c r="H41" s="210"/>
      <c r="I41" s="520"/>
      <c r="J41" s="210">
        <v>2014</v>
      </c>
      <c r="K41" s="210">
        <v>2014</v>
      </c>
      <c r="L41" s="210" t="s">
        <v>379</v>
      </c>
      <c r="M41" s="210" t="s">
        <v>379</v>
      </c>
      <c r="N41" s="210" t="s">
        <v>379</v>
      </c>
      <c r="O41" s="210" t="s">
        <v>379</v>
      </c>
      <c r="P41" s="210">
        <v>0</v>
      </c>
      <c r="Q41" s="210">
        <v>0</v>
      </c>
      <c r="R41" s="521">
        <f>'приложение 1.1'!I41</f>
        <v>1.42</v>
      </c>
      <c r="S41" s="522"/>
      <c r="T41" s="523">
        <f t="shared" si="0"/>
        <v>1.42</v>
      </c>
      <c r="U41" s="210"/>
      <c r="V41" s="207" t="s">
        <v>565</v>
      </c>
      <c r="W41" s="207" t="s">
        <v>566</v>
      </c>
      <c r="X41" s="207" t="s">
        <v>567</v>
      </c>
      <c r="Y41" s="520">
        <f>'[2]1.1.21.'!$F$21/1000000</f>
        <v>0.4891675711477945</v>
      </c>
      <c r="Z41" s="526">
        <f>'[2]1.1.21.'!$L$86</f>
        <v>0.07417330500262476</v>
      </c>
      <c r="AA41" s="522">
        <f>'[2]1.1.21.'!$F$19</f>
        <v>8.629818105297007</v>
      </c>
      <c r="AB41" s="532">
        <f>'[2]1.1.21.'!$F$20</f>
        <v>9.225091977292616</v>
      </c>
    </row>
    <row r="42" spans="2:28" s="507" customFormat="1" ht="98.25" customHeight="1">
      <c r="B42" s="48" t="s">
        <v>119</v>
      </c>
      <c r="C42" s="533" t="s">
        <v>120</v>
      </c>
      <c r="D42" s="519" t="s">
        <v>544</v>
      </c>
      <c r="E42" s="519" t="s">
        <v>559</v>
      </c>
      <c r="F42" s="210">
        <v>0.8</v>
      </c>
      <c r="G42" s="210"/>
      <c r="H42" s="210"/>
      <c r="I42" s="520"/>
      <c r="J42" s="210">
        <v>2014</v>
      </c>
      <c r="K42" s="210">
        <v>2014</v>
      </c>
      <c r="L42" s="210" t="s">
        <v>379</v>
      </c>
      <c r="M42" s="210" t="s">
        <v>379</v>
      </c>
      <c r="N42" s="210" t="s">
        <v>379</v>
      </c>
      <c r="O42" s="210" t="s">
        <v>379</v>
      </c>
      <c r="P42" s="210">
        <v>0</v>
      </c>
      <c r="Q42" s="210">
        <v>0</v>
      </c>
      <c r="R42" s="521">
        <f>'приложение 1.1'!I42</f>
        <v>1.22</v>
      </c>
      <c r="S42" s="522"/>
      <c r="T42" s="523">
        <f t="shared" si="0"/>
        <v>1.22</v>
      </c>
      <c r="U42" s="210"/>
      <c r="V42" s="207" t="s">
        <v>565</v>
      </c>
      <c r="W42" s="207" t="s">
        <v>566</v>
      </c>
      <c r="X42" s="207" t="s">
        <v>567</v>
      </c>
      <c r="Y42" s="520">
        <f>'[2]1.1.22.'!$F$21/1000000</f>
        <v>0.4202587754064025</v>
      </c>
      <c r="Z42" s="526">
        <f>'[2]1.1.22.'!$L$86</f>
        <v>0.07417227563431483</v>
      </c>
      <c r="AA42" s="522">
        <f>'[2]1.1.22.'!$F$19</f>
        <v>8.62983838420728</v>
      </c>
      <c r="AB42" s="532">
        <f>'[2]1.1.22.'!$F$20</f>
        <v>9.225108435910775</v>
      </c>
    </row>
    <row r="43" spans="2:28" s="507" customFormat="1" ht="125.25" customHeight="1">
      <c r="B43" s="48" t="s">
        <v>121</v>
      </c>
      <c r="C43" s="206" t="s">
        <v>122</v>
      </c>
      <c r="D43" s="519" t="s">
        <v>544</v>
      </c>
      <c r="E43" s="210" t="s">
        <v>569</v>
      </c>
      <c r="F43" s="210">
        <v>8</v>
      </c>
      <c r="G43" s="210"/>
      <c r="H43" s="210"/>
      <c r="I43" s="520"/>
      <c r="J43" s="210">
        <v>2014</v>
      </c>
      <c r="K43" s="210">
        <v>2014</v>
      </c>
      <c r="L43" s="210" t="s">
        <v>379</v>
      </c>
      <c r="M43" s="210" t="s">
        <v>379</v>
      </c>
      <c r="N43" s="210" t="s">
        <v>379</v>
      </c>
      <c r="O43" s="210" t="s">
        <v>379</v>
      </c>
      <c r="P43" s="210">
        <v>0</v>
      </c>
      <c r="Q43" s="210">
        <v>0</v>
      </c>
      <c r="R43" s="521">
        <f>'приложение 1.1'!I43</f>
        <v>3.16</v>
      </c>
      <c r="S43" s="522"/>
      <c r="T43" s="523">
        <f t="shared" si="0"/>
        <v>3.16</v>
      </c>
      <c r="U43" s="210"/>
      <c r="V43" s="274" t="s">
        <v>570</v>
      </c>
      <c r="W43" s="207" t="s">
        <v>555</v>
      </c>
      <c r="X43" s="207" t="s">
        <v>556</v>
      </c>
      <c r="Y43" s="520">
        <f>'[2]1.1.23.'!$F$21/1000000</f>
        <v>1.1046258779868312</v>
      </c>
      <c r="Z43" s="526">
        <f>'[2]1.1.23.'!$L$86</f>
        <v>0.07474109733574097</v>
      </c>
      <c r="AA43" s="522">
        <f>'[2]1.1.23.'!$F$19</f>
        <v>8.615891204972995</v>
      </c>
      <c r="AB43" s="532">
        <f>'[2]1.1.23.'!$F$20</f>
        <v>9.214528559434367</v>
      </c>
    </row>
    <row r="44" spans="2:28" s="507" customFormat="1" ht="120">
      <c r="B44" s="48" t="s">
        <v>123</v>
      </c>
      <c r="C44" s="265" t="s">
        <v>124</v>
      </c>
      <c r="D44" s="519" t="s">
        <v>544</v>
      </c>
      <c r="E44" s="519" t="s">
        <v>559</v>
      </c>
      <c r="F44" s="210">
        <v>12.6</v>
      </c>
      <c r="G44" s="210"/>
      <c r="H44" s="210"/>
      <c r="I44" s="520"/>
      <c r="J44" s="210">
        <v>2014</v>
      </c>
      <c r="K44" s="210">
        <v>2014</v>
      </c>
      <c r="L44" s="210" t="s">
        <v>379</v>
      </c>
      <c r="M44" s="210" t="s">
        <v>379</v>
      </c>
      <c r="N44" s="210" t="s">
        <v>379</v>
      </c>
      <c r="O44" s="210" t="s">
        <v>379</v>
      </c>
      <c r="P44" s="210">
        <v>0</v>
      </c>
      <c r="Q44" s="210">
        <v>0</v>
      </c>
      <c r="R44" s="521">
        <f>'приложение 1.1'!I44</f>
        <v>4.63</v>
      </c>
      <c r="S44" s="522"/>
      <c r="T44" s="523">
        <f t="shared" si="0"/>
        <v>4.63</v>
      </c>
      <c r="U44" s="210"/>
      <c r="V44" s="274" t="s">
        <v>570</v>
      </c>
      <c r="W44" s="207" t="s">
        <v>555</v>
      </c>
      <c r="X44" s="207" t="s">
        <v>556</v>
      </c>
      <c r="Y44" s="520">
        <f>'[2]1.1.24.'!$F$21/1000000</f>
        <v>1.5921032178223031</v>
      </c>
      <c r="Z44" s="526">
        <f>'[2]1.1.24.'!$L$86</f>
        <v>0.07410437029685246</v>
      </c>
      <c r="AA44" s="522">
        <f>'[2]1.1.24.'!$F$19</f>
        <v>8.6315022763333</v>
      </c>
      <c r="AB44" s="532">
        <f>'[2]1.1.24.'!$F$20</f>
        <v>9.226370361043852</v>
      </c>
    </row>
    <row r="45" spans="2:28" s="507" customFormat="1" ht="128.25" customHeight="1">
      <c r="B45" s="48" t="s">
        <v>125</v>
      </c>
      <c r="C45" s="265" t="s">
        <v>126</v>
      </c>
      <c r="D45" s="519" t="s">
        <v>544</v>
      </c>
      <c r="E45" s="519" t="s">
        <v>559</v>
      </c>
      <c r="F45" s="210">
        <v>7.9</v>
      </c>
      <c r="G45" s="210"/>
      <c r="H45" s="210"/>
      <c r="I45" s="520"/>
      <c r="J45" s="210">
        <v>2014</v>
      </c>
      <c r="K45" s="210">
        <v>2014</v>
      </c>
      <c r="L45" s="210" t="s">
        <v>379</v>
      </c>
      <c r="M45" s="210" t="s">
        <v>379</v>
      </c>
      <c r="N45" s="210" t="s">
        <v>379</v>
      </c>
      <c r="O45" s="210" t="s">
        <v>379</v>
      </c>
      <c r="P45" s="210">
        <v>0</v>
      </c>
      <c r="Q45" s="210">
        <v>0</v>
      </c>
      <c r="R45" s="521">
        <f>'приложение 1.1'!I45</f>
        <v>4</v>
      </c>
      <c r="S45" s="522"/>
      <c r="T45" s="523">
        <f t="shared" si="0"/>
        <v>4</v>
      </c>
      <c r="U45" s="210"/>
      <c r="V45" s="274" t="s">
        <v>570</v>
      </c>
      <c r="W45" s="207" t="s">
        <v>555</v>
      </c>
      <c r="X45" s="207" t="s">
        <v>556</v>
      </c>
      <c r="Y45" s="520">
        <f>'[2]1.1.25.'!$F$21/1000000</f>
        <v>1.5600414575805643</v>
      </c>
      <c r="Z45" s="526">
        <f>'[2]1.1.25.'!$L$86</f>
        <v>0.07923374779533998</v>
      </c>
      <c r="AA45" s="522">
        <f>'[2]1.1.25.'!$F$19</f>
        <v>8.506804018034824</v>
      </c>
      <c r="AB45" s="532">
        <f>'[2]1.1.25.'!$F$20</f>
        <v>9.131328867031804</v>
      </c>
    </row>
    <row r="46" spans="2:28" s="507" customFormat="1" ht="90">
      <c r="B46" s="48" t="s">
        <v>127</v>
      </c>
      <c r="C46" s="265" t="s">
        <v>128</v>
      </c>
      <c r="D46" s="519" t="s">
        <v>544</v>
      </c>
      <c r="E46" s="210" t="s">
        <v>545</v>
      </c>
      <c r="F46" s="210">
        <v>12.6</v>
      </c>
      <c r="G46" s="210"/>
      <c r="H46" s="210"/>
      <c r="I46" s="520"/>
      <c r="J46" s="210">
        <v>2014</v>
      </c>
      <c r="K46" s="210">
        <v>2016</v>
      </c>
      <c r="L46" s="210" t="s">
        <v>379</v>
      </c>
      <c r="M46" s="210" t="s">
        <v>379</v>
      </c>
      <c r="N46" s="210" t="s">
        <v>379</v>
      </c>
      <c r="O46" s="210" t="s">
        <v>379</v>
      </c>
      <c r="P46" s="210">
        <v>0</v>
      </c>
      <c r="Q46" s="210">
        <v>0</v>
      </c>
      <c r="R46" s="521">
        <f>'приложение 1.1'!I46</f>
        <v>34.284079999999996</v>
      </c>
      <c r="S46" s="522"/>
      <c r="T46" s="523">
        <f t="shared" si="0"/>
        <v>34.284079999999996</v>
      </c>
      <c r="U46" s="210"/>
      <c r="V46" s="274" t="s">
        <v>570</v>
      </c>
      <c r="W46" s="207" t="s">
        <v>561</v>
      </c>
      <c r="X46" s="207" t="s">
        <v>562</v>
      </c>
      <c r="Y46" s="520">
        <f>'[2]1.1.26.'!$F$21/1000000</f>
        <v>6.3914886632129155</v>
      </c>
      <c r="Z46" s="526">
        <f>'[2]1.1.26.'!$L$86</f>
        <v>0.05723152115418495</v>
      </c>
      <c r="AA46" s="522">
        <f>'[2]1.1.26.'!$F$19</f>
        <v>8.933014192435127</v>
      </c>
      <c r="AB46" s="532">
        <f>'[2]1.1.26.'!$F$20</f>
        <v>9.506265087688615</v>
      </c>
    </row>
    <row r="47" spans="2:28" s="507" customFormat="1" ht="104.25" customHeight="1">
      <c r="B47" s="48" t="s">
        <v>129</v>
      </c>
      <c r="C47" s="262" t="s">
        <v>130</v>
      </c>
      <c r="D47" s="210" t="s">
        <v>544</v>
      </c>
      <c r="E47" s="210" t="s">
        <v>559</v>
      </c>
      <c r="F47" s="535">
        <v>1.26</v>
      </c>
      <c r="G47" s="210"/>
      <c r="H47" s="535"/>
      <c r="I47" s="210"/>
      <c r="J47" s="210">
        <v>2014</v>
      </c>
      <c r="K47" s="210">
        <v>2016</v>
      </c>
      <c r="L47" s="210" t="s">
        <v>379</v>
      </c>
      <c r="M47" s="210" t="s">
        <v>379</v>
      </c>
      <c r="N47" s="210" t="s">
        <v>379</v>
      </c>
      <c r="O47" s="210" t="s">
        <v>379</v>
      </c>
      <c r="P47" s="210">
        <v>0</v>
      </c>
      <c r="Q47" s="210">
        <v>0</v>
      </c>
      <c r="R47" s="521">
        <f>'приложение 1.1'!I47</f>
        <v>13.428</v>
      </c>
      <c r="S47" s="522"/>
      <c r="T47" s="523">
        <f t="shared" si="0"/>
        <v>13.428</v>
      </c>
      <c r="U47" s="536"/>
      <c r="V47" s="274" t="s">
        <v>571</v>
      </c>
      <c r="W47" s="207" t="s">
        <v>572</v>
      </c>
      <c r="X47" s="207" t="s">
        <v>551</v>
      </c>
      <c r="Y47" s="520">
        <f>'[2]1.1.27.'!$F$21/1000000</f>
        <v>2.3776812406591397</v>
      </c>
      <c r="Z47" s="526">
        <f>'[2]1.1.27.'!$L$86</f>
        <v>0.05610430901456431</v>
      </c>
      <c r="AA47" s="522">
        <f>'[2]1.1.27.'!$F$19</f>
        <v>8.962605387234953</v>
      </c>
      <c r="AB47" s="532">
        <f>'[2]1.1.27.'!$F$20</f>
        <v>9.529917962469757</v>
      </c>
    </row>
    <row r="48" spans="2:28" s="507" customFormat="1" ht="96.75" customHeight="1">
      <c r="B48" s="48" t="s">
        <v>131</v>
      </c>
      <c r="C48" s="262" t="s">
        <v>132</v>
      </c>
      <c r="D48" s="210" t="s">
        <v>544</v>
      </c>
      <c r="E48" s="210" t="s">
        <v>559</v>
      </c>
      <c r="F48" s="535">
        <v>0</v>
      </c>
      <c r="G48" s="210"/>
      <c r="H48" s="535"/>
      <c r="I48" s="520"/>
      <c r="J48" s="210">
        <v>2014</v>
      </c>
      <c r="K48" s="210">
        <v>2014</v>
      </c>
      <c r="L48" s="210" t="s">
        <v>379</v>
      </c>
      <c r="M48" s="210" t="s">
        <v>379</v>
      </c>
      <c r="N48" s="210" t="s">
        <v>379</v>
      </c>
      <c r="O48" s="210" t="s">
        <v>379</v>
      </c>
      <c r="P48" s="210">
        <v>0</v>
      </c>
      <c r="Q48" s="210">
        <v>0</v>
      </c>
      <c r="R48" s="521">
        <f>'приложение 1.1'!I48</f>
        <v>1.83</v>
      </c>
      <c r="S48" s="522"/>
      <c r="T48" s="523">
        <f t="shared" si="0"/>
        <v>1.83</v>
      </c>
      <c r="U48" s="210"/>
      <c r="V48" s="274" t="s">
        <v>571</v>
      </c>
      <c r="W48" s="207" t="s">
        <v>572</v>
      </c>
      <c r="X48" s="207" t="s">
        <v>551</v>
      </c>
      <c r="Y48" s="520">
        <f>'[2]1.1.28.'!$F$21/1000000</f>
        <v>0.6788027732281587</v>
      </c>
      <c r="Z48" s="526">
        <f>'[2]1.1.28.'!$L$86</f>
        <v>0.07712198930985492</v>
      </c>
      <c r="AA48" s="522">
        <f>'[2]1.1.28.'!$F$19</f>
        <v>8.55792140831427</v>
      </c>
      <c r="AB48" s="532">
        <f>'[2]1.1.28.'!$F$20</f>
        <v>9.170388799958737</v>
      </c>
    </row>
    <row r="49" spans="2:28" s="507" customFormat="1" ht="135">
      <c r="B49" s="48" t="s">
        <v>133</v>
      </c>
      <c r="C49" s="265" t="s">
        <v>134</v>
      </c>
      <c r="D49" s="210" t="s">
        <v>544</v>
      </c>
      <c r="E49" s="210" t="s">
        <v>559</v>
      </c>
      <c r="F49" s="209"/>
      <c r="G49" s="210"/>
      <c r="H49" s="209">
        <v>0.89</v>
      </c>
      <c r="I49" s="520"/>
      <c r="J49" s="210">
        <v>2015</v>
      </c>
      <c r="K49" s="210">
        <v>2015</v>
      </c>
      <c r="L49" s="210" t="s">
        <v>379</v>
      </c>
      <c r="M49" s="210" t="s">
        <v>379</v>
      </c>
      <c r="N49" s="210" t="s">
        <v>379</v>
      </c>
      <c r="O49" s="210" t="s">
        <v>379</v>
      </c>
      <c r="P49" s="210">
        <v>0</v>
      </c>
      <c r="Q49" s="210">
        <v>0</v>
      </c>
      <c r="R49" s="521">
        <f>'приложение 1.1'!I49</f>
        <v>1.25</v>
      </c>
      <c r="S49" s="522"/>
      <c r="T49" s="523">
        <f t="shared" si="0"/>
        <v>1.25</v>
      </c>
      <c r="U49" s="210"/>
      <c r="V49" s="207" t="s">
        <v>573</v>
      </c>
      <c r="W49" s="207" t="s">
        <v>561</v>
      </c>
      <c r="X49" s="207" t="s">
        <v>562</v>
      </c>
      <c r="Y49" s="520">
        <f>'[2]1.1.29.'!$F$21/1000000</f>
        <v>0.3986328478172349</v>
      </c>
      <c r="Z49" s="526">
        <f>'[2]1.1.29.'!$L$86</f>
        <v>0.07507720815224617</v>
      </c>
      <c r="AA49" s="522">
        <f>'[2]1.1.29.'!$F$19</f>
        <v>8.393763099829771</v>
      </c>
      <c r="AB49" s="532">
        <f>'[2]1.1.29.'!$F$20</f>
        <v>9.112408881988006</v>
      </c>
    </row>
    <row r="50" spans="2:28" s="507" customFormat="1" ht="135">
      <c r="B50" s="48" t="s">
        <v>135</v>
      </c>
      <c r="C50" s="265" t="s">
        <v>136</v>
      </c>
      <c r="D50" s="210" t="s">
        <v>544</v>
      </c>
      <c r="E50" s="210" t="s">
        <v>559</v>
      </c>
      <c r="F50" s="209"/>
      <c r="G50" s="210"/>
      <c r="H50" s="209">
        <v>3.14</v>
      </c>
      <c r="I50" s="520"/>
      <c r="J50" s="210">
        <v>2015</v>
      </c>
      <c r="K50" s="210">
        <v>2015</v>
      </c>
      <c r="L50" s="210" t="s">
        <v>379</v>
      </c>
      <c r="M50" s="210" t="s">
        <v>379</v>
      </c>
      <c r="N50" s="210" t="s">
        <v>379</v>
      </c>
      <c r="O50" s="210" t="s">
        <v>379</v>
      </c>
      <c r="P50" s="210">
        <v>0</v>
      </c>
      <c r="Q50" s="210">
        <v>0</v>
      </c>
      <c r="R50" s="521">
        <f>'приложение 1.1'!I50</f>
        <v>1.17</v>
      </c>
      <c r="S50" s="522"/>
      <c r="T50" s="523">
        <f t="shared" si="0"/>
        <v>1.17</v>
      </c>
      <c r="U50" s="210"/>
      <c r="V50" s="207" t="s">
        <v>573</v>
      </c>
      <c r="W50" s="207" t="s">
        <v>561</v>
      </c>
      <c r="X50" s="207" t="s">
        <v>562</v>
      </c>
      <c r="Y50" s="520">
        <f>'[2]1.1.30.'!$F$21/1000000</f>
        <v>0.5646967570462313</v>
      </c>
      <c r="Z50" s="526">
        <f>'[2]1.1.30.'!$L$86</f>
        <v>0.09215029911466788</v>
      </c>
      <c r="AA50" s="522">
        <f>'[2]1.1.30.'!$F$19</f>
        <v>8.150357731536468</v>
      </c>
      <c r="AB50" s="532">
        <f>'[2]1.1.30.'!$F$20</f>
        <v>8.801152749447477</v>
      </c>
    </row>
    <row r="51" spans="2:28" s="507" customFormat="1" ht="97.5" customHeight="1">
      <c r="B51" s="48" t="s">
        <v>137</v>
      </c>
      <c r="C51" s="265" t="s">
        <v>138</v>
      </c>
      <c r="D51" s="519" t="s">
        <v>544</v>
      </c>
      <c r="E51" s="210" t="s">
        <v>574</v>
      </c>
      <c r="F51" s="209"/>
      <c r="G51" s="210"/>
      <c r="H51" s="219">
        <v>9</v>
      </c>
      <c r="I51" s="520"/>
      <c r="J51" s="210">
        <v>2015</v>
      </c>
      <c r="K51" s="210">
        <v>2015</v>
      </c>
      <c r="L51" s="210" t="s">
        <v>379</v>
      </c>
      <c r="M51" s="210" t="s">
        <v>379</v>
      </c>
      <c r="N51" s="210" t="s">
        <v>379</v>
      </c>
      <c r="O51" s="210" t="s">
        <v>379</v>
      </c>
      <c r="P51" s="210">
        <v>0</v>
      </c>
      <c r="Q51" s="210">
        <v>0</v>
      </c>
      <c r="R51" s="521">
        <f>'приложение 1.1'!I51</f>
        <v>2.8202</v>
      </c>
      <c r="S51" s="522"/>
      <c r="T51" s="523">
        <f t="shared" si="0"/>
        <v>2.8202</v>
      </c>
      <c r="U51" s="210"/>
      <c r="V51" s="207" t="s">
        <v>565</v>
      </c>
      <c r="W51" s="207" t="s">
        <v>566</v>
      </c>
      <c r="X51" s="207" t="s">
        <v>567</v>
      </c>
      <c r="Y51" s="520">
        <f>'[2]1.1.31.'!$F$21/100000</f>
        <v>13.611809684909165</v>
      </c>
      <c r="Z51" s="526">
        <f>'[2]1.1.31.'!$L$86</f>
        <v>0.09215104463322521</v>
      </c>
      <c r="AA51" s="522">
        <f>'[2]1.1.31.'!$F$19</f>
        <v>8.150345762440079</v>
      </c>
      <c r="AB51" s="532">
        <f>'[2]1.1.31.'!$F$20</f>
        <v>8.801135875034182</v>
      </c>
    </row>
    <row r="52" spans="2:28" s="507" customFormat="1" ht="120">
      <c r="B52" s="48" t="s">
        <v>139</v>
      </c>
      <c r="C52" s="265" t="s">
        <v>140</v>
      </c>
      <c r="D52" s="519" t="s">
        <v>544</v>
      </c>
      <c r="E52" s="519" t="s">
        <v>553</v>
      </c>
      <c r="F52" s="209"/>
      <c r="G52" s="210"/>
      <c r="H52" s="209">
        <v>0.94</v>
      </c>
      <c r="I52" s="520"/>
      <c r="J52" s="210">
        <v>2015</v>
      </c>
      <c r="K52" s="210">
        <v>2015</v>
      </c>
      <c r="L52" s="210" t="s">
        <v>379</v>
      </c>
      <c r="M52" s="210" t="s">
        <v>379</v>
      </c>
      <c r="N52" s="210" t="s">
        <v>379</v>
      </c>
      <c r="O52" s="210" t="s">
        <v>379</v>
      </c>
      <c r="P52" s="210">
        <v>0</v>
      </c>
      <c r="Q52" s="210">
        <v>0</v>
      </c>
      <c r="R52" s="521">
        <f>'приложение 1.1'!I52</f>
        <v>0.6726000000000001</v>
      </c>
      <c r="S52" s="522"/>
      <c r="T52" s="523">
        <f t="shared" si="0"/>
        <v>0.6726000000000001</v>
      </c>
      <c r="U52" s="210"/>
      <c r="V52" s="207" t="s">
        <v>554</v>
      </c>
      <c r="W52" s="207" t="s">
        <v>555</v>
      </c>
      <c r="X52" s="207" t="s">
        <v>556</v>
      </c>
      <c r="Y52" s="520">
        <f>'[2]1.1.32.'!$F$21/1000000</f>
        <v>0.16091493843435706</v>
      </c>
      <c r="Z52" s="526">
        <f>'[2]1.1.32.'!$L$86</f>
        <v>0.06514670642635223</v>
      </c>
      <c r="AA52" s="522">
        <f>'[2]1.1.32.'!$F$19</f>
        <v>8.630735803992579</v>
      </c>
      <c r="AB52" s="532">
        <f>'[2]1.1.32.'!$F$20</f>
        <v>9.308240076874068</v>
      </c>
    </row>
    <row r="53" spans="2:28" s="507" customFormat="1" ht="120">
      <c r="B53" s="48" t="s">
        <v>141</v>
      </c>
      <c r="C53" s="265" t="s">
        <v>142</v>
      </c>
      <c r="D53" s="519" t="s">
        <v>544</v>
      </c>
      <c r="E53" s="519" t="s">
        <v>553</v>
      </c>
      <c r="F53" s="209"/>
      <c r="G53" s="210"/>
      <c r="H53" s="209">
        <v>0.68</v>
      </c>
      <c r="I53" s="520"/>
      <c r="J53" s="210">
        <v>2015</v>
      </c>
      <c r="K53" s="210">
        <v>2015</v>
      </c>
      <c r="L53" s="210" t="s">
        <v>379</v>
      </c>
      <c r="M53" s="210" t="s">
        <v>379</v>
      </c>
      <c r="N53" s="210" t="s">
        <v>379</v>
      </c>
      <c r="O53" s="210" t="s">
        <v>379</v>
      </c>
      <c r="P53" s="210">
        <v>0</v>
      </c>
      <c r="Q53" s="210">
        <v>0</v>
      </c>
      <c r="R53" s="521">
        <f>'приложение 1.1'!I53</f>
        <v>0.3186</v>
      </c>
      <c r="S53" s="522"/>
      <c r="T53" s="523">
        <f t="shared" si="0"/>
        <v>0.3186</v>
      </c>
      <c r="U53" s="210"/>
      <c r="V53" s="207" t="s">
        <v>554</v>
      </c>
      <c r="W53" s="207" t="s">
        <v>555</v>
      </c>
      <c r="X53" s="207" t="s">
        <v>556</v>
      </c>
      <c r="Y53" s="520">
        <f>'[2]1.1.33.'!$F$21/1000000</f>
        <v>0.07622279188995854</v>
      </c>
      <c r="Z53" s="526">
        <f>'[2]1.1.33.'!$L$86</f>
        <v>0.06514667214305714</v>
      </c>
      <c r="AA53" s="522">
        <f>'[2]1.1.33.'!$F$19</f>
        <v>8.630736560483653</v>
      </c>
      <c r="AB53" s="532">
        <f>'[2]1.1.33.'!$F$20</f>
        <v>9.30824074559445</v>
      </c>
    </row>
    <row r="54" spans="2:28" s="507" customFormat="1" ht="120">
      <c r="B54" s="48" t="s">
        <v>143</v>
      </c>
      <c r="C54" s="265" t="s">
        <v>144</v>
      </c>
      <c r="D54" s="519" t="s">
        <v>544</v>
      </c>
      <c r="E54" s="519" t="s">
        <v>575</v>
      </c>
      <c r="F54" s="209"/>
      <c r="G54" s="210"/>
      <c r="H54" s="209">
        <v>2.24</v>
      </c>
      <c r="I54" s="520"/>
      <c r="J54" s="210">
        <v>2015</v>
      </c>
      <c r="K54" s="210">
        <v>2015</v>
      </c>
      <c r="L54" s="210" t="s">
        <v>379</v>
      </c>
      <c r="M54" s="210" t="s">
        <v>379</v>
      </c>
      <c r="N54" s="210" t="s">
        <v>379</v>
      </c>
      <c r="O54" s="210" t="s">
        <v>379</v>
      </c>
      <c r="P54" s="210">
        <v>0</v>
      </c>
      <c r="Q54" s="210">
        <v>0</v>
      </c>
      <c r="R54" s="521">
        <f>'приложение 1.1'!I54</f>
        <v>1.3924</v>
      </c>
      <c r="S54" s="522"/>
      <c r="T54" s="523">
        <f t="shared" si="0"/>
        <v>1.3924</v>
      </c>
      <c r="U54" s="210"/>
      <c r="V54" s="207" t="s">
        <v>554</v>
      </c>
      <c r="W54" s="207" t="s">
        <v>555</v>
      </c>
      <c r="X54" s="207" t="s">
        <v>556</v>
      </c>
      <c r="Y54" s="520">
        <f>'[2]1.1.34.'!$F$21/1000000</f>
        <v>0.30815586717674326</v>
      </c>
      <c r="Z54" s="526">
        <f>'[2]1.1.34.'!$L$86</f>
        <v>0.06290386507921042</v>
      </c>
      <c r="AA54" s="522">
        <f>'[2]1.1.34.'!$F$19</f>
        <v>8.69214880781614</v>
      </c>
      <c r="AB54" s="532">
        <f>'[2]1.1.34.'!$F$20</f>
        <v>9.356845254006329</v>
      </c>
    </row>
    <row r="55" spans="2:28" s="507" customFormat="1" ht="135">
      <c r="B55" s="48" t="s">
        <v>145</v>
      </c>
      <c r="C55" s="527" t="s">
        <v>146</v>
      </c>
      <c r="D55" s="519" t="s">
        <v>544</v>
      </c>
      <c r="E55" s="519" t="s">
        <v>559</v>
      </c>
      <c r="F55" s="210"/>
      <c r="G55" s="210"/>
      <c r="H55" s="210">
        <v>0.22</v>
      </c>
      <c r="I55" s="520"/>
      <c r="J55" s="210">
        <v>2015</v>
      </c>
      <c r="K55" s="210">
        <v>2015</v>
      </c>
      <c r="L55" s="210" t="s">
        <v>379</v>
      </c>
      <c r="M55" s="210" t="s">
        <v>379</v>
      </c>
      <c r="N55" s="210" t="s">
        <v>379</v>
      </c>
      <c r="O55" s="210" t="s">
        <v>379</v>
      </c>
      <c r="P55" s="210">
        <v>0</v>
      </c>
      <c r="Q55" s="210">
        <v>0</v>
      </c>
      <c r="R55" s="521">
        <f>'приложение 1.1'!I55</f>
        <v>0.5</v>
      </c>
      <c r="S55" s="522"/>
      <c r="T55" s="523">
        <f t="shared" si="0"/>
        <v>0.5</v>
      </c>
      <c r="U55" s="210"/>
      <c r="V55" s="207" t="s">
        <v>576</v>
      </c>
      <c r="W55" s="207" t="s">
        <v>561</v>
      </c>
      <c r="X55" s="207" t="s">
        <v>562</v>
      </c>
      <c r="Y55" s="520">
        <f>'[2]1.1.35.'!$F$21/1000000</f>
        <v>0.24131229524872558</v>
      </c>
      <c r="Z55" s="526">
        <f>'[2]1.1.35.'!$L$86</f>
        <v>0.09214790629973169</v>
      </c>
      <c r="AA55" s="522">
        <f>'[2]1.1.35.'!$F$19</f>
        <v>8.150396145632133</v>
      </c>
      <c r="AB55" s="532">
        <f>'[2]1.1.35.'!$F$20</f>
        <v>8.801206908597951</v>
      </c>
    </row>
    <row r="56" spans="2:28" s="507" customFormat="1" ht="75">
      <c r="B56" s="48" t="s">
        <v>147</v>
      </c>
      <c r="C56" s="260" t="s">
        <v>148</v>
      </c>
      <c r="D56" s="519" t="s">
        <v>544</v>
      </c>
      <c r="E56" s="210" t="s">
        <v>545</v>
      </c>
      <c r="F56" s="210"/>
      <c r="G56" s="210"/>
      <c r="H56" s="210">
        <v>2.61</v>
      </c>
      <c r="I56" s="520"/>
      <c r="J56" s="210">
        <v>2015</v>
      </c>
      <c r="K56" s="210">
        <v>2015</v>
      </c>
      <c r="L56" s="210" t="s">
        <v>379</v>
      </c>
      <c r="M56" s="210" t="s">
        <v>379</v>
      </c>
      <c r="N56" s="210" t="s">
        <v>379</v>
      </c>
      <c r="O56" s="210" t="s">
        <v>379</v>
      </c>
      <c r="P56" s="210">
        <v>0</v>
      </c>
      <c r="Q56" s="210">
        <v>0</v>
      </c>
      <c r="R56" s="521">
        <f>'приложение 1.1'!I56</f>
        <v>1.16</v>
      </c>
      <c r="S56" s="522"/>
      <c r="T56" s="523">
        <f t="shared" si="0"/>
        <v>1.16</v>
      </c>
      <c r="U56" s="210"/>
      <c r="V56" s="207" t="s">
        <v>546</v>
      </c>
      <c r="W56" s="274" t="s">
        <v>549</v>
      </c>
      <c r="X56" s="207" t="s">
        <v>548</v>
      </c>
      <c r="Y56" s="520">
        <f>'[2]1.1.36.'!$F$21/1000000</f>
        <v>0.5598937414866937</v>
      </c>
      <c r="Z56" s="526">
        <f>'[2]1.1.36.'!$L$86</f>
        <v>0.09215241222851511</v>
      </c>
      <c r="AA56" s="522">
        <f>'[2]1.1.36.'!$F$19</f>
        <v>8.150323786970441</v>
      </c>
      <c r="AB56" s="532">
        <f>'[2]1.1.36.'!$F$20</f>
        <v>8.80110490688146</v>
      </c>
    </row>
    <row r="57" spans="2:28" s="507" customFormat="1" ht="135">
      <c r="B57" s="48" t="s">
        <v>149</v>
      </c>
      <c r="C57" s="537" t="s">
        <v>150</v>
      </c>
      <c r="D57" s="519" t="s">
        <v>544</v>
      </c>
      <c r="E57" s="519" t="s">
        <v>559</v>
      </c>
      <c r="F57" s="210"/>
      <c r="G57" s="210"/>
      <c r="H57" s="210">
        <v>4.16</v>
      </c>
      <c r="I57" s="520"/>
      <c r="J57" s="210">
        <v>2015</v>
      </c>
      <c r="K57" s="210">
        <v>2015</v>
      </c>
      <c r="L57" s="210" t="s">
        <v>379</v>
      </c>
      <c r="M57" s="210" t="s">
        <v>379</v>
      </c>
      <c r="N57" s="210" t="s">
        <v>379</v>
      </c>
      <c r="O57" s="210" t="s">
        <v>379</v>
      </c>
      <c r="P57" s="210">
        <v>0</v>
      </c>
      <c r="Q57" s="210">
        <v>0</v>
      </c>
      <c r="R57" s="521">
        <f>'приложение 1.1'!I57</f>
        <v>0.27</v>
      </c>
      <c r="S57" s="522"/>
      <c r="T57" s="523">
        <f t="shared" si="0"/>
        <v>0.27</v>
      </c>
      <c r="U57" s="210"/>
      <c r="V57" s="207" t="s">
        <v>576</v>
      </c>
      <c r="W57" s="207" t="s">
        <v>561</v>
      </c>
      <c r="X57" s="207" t="s">
        <v>562</v>
      </c>
      <c r="Y57" s="520">
        <f>'[2]1.1.37.'!$F$21/1000000</f>
        <v>0.11208931659091864</v>
      </c>
      <c r="Z57" s="526">
        <f>'[2]1.1.37.'!$L$86</f>
        <v>0.08532513487825422</v>
      </c>
      <c r="AA57" s="522">
        <f>'[2]1.1.37.'!$F$19</f>
        <v>8.245103443691793</v>
      </c>
      <c r="AB57" s="532">
        <f>'[2]1.1.37.'!$F$20</f>
        <v>8.944284147720605</v>
      </c>
    </row>
    <row r="58" spans="2:28" s="507" customFormat="1" ht="135">
      <c r="B58" s="48" t="s">
        <v>151</v>
      </c>
      <c r="C58" s="537" t="s">
        <v>152</v>
      </c>
      <c r="D58" s="519" t="s">
        <v>544</v>
      </c>
      <c r="E58" s="519" t="s">
        <v>559</v>
      </c>
      <c r="F58" s="210"/>
      <c r="G58" s="210"/>
      <c r="H58" s="210">
        <v>3.15</v>
      </c>
      <c r="I58" s="520"/>
      <c r="J58" s="210">
        <v>2015</v>
      </c>
      <c r="K58" s="210">
        <v>2015</v>
      </c>
      <c r="L58" s="210" t="s">
        <v>379</v>
      </c>
      <c r="M58" s="210" t="s">
        <v>379</v>
      </c>
      <c r="N58" s="210" t="s">
        <v>379</v>
      </c>
      <c r="O58" s="210" t="s">
        <v>379</v>
      </c>
      <c r="P58" s="210">
        <v>0</v>
      </c>
      <c r="Q58" s="210">
        <v>0</v>
      </c>
      <c r="R58" s="521">
        <f>'приложение 1.1'!I58</f>
        <v>2.14</v>
      </c>
      <c r="S58" s="522"/>
      <c r="T58" s="523">
        <f t="shared" si="0"/>
        <v>2.14</v>
      </c>
      <c r="U58" s="210"/>
      <c r="V58" s="207" t="s">
        <v>576</v>
      </c>
      <c r="W58" s="207" t="s">
        <v>561</v>
      </c>
      <c r="X58" s="207" t="s">
        <v>562</v>
      </c>
      <c r="Y58" s="520">
        <f>'[2]1.1.38.'!$F$21/1000000</f>
        <v>1.032881179996281</v>
      </c>
      <c r="Z58" s="526">
        <f>'[2]1.1.38.'!$L$86</f>
        <v>0.09215112865035757</v>
      </c>
      <c r="AA58" s="522">
        <f>'[2]1.1.38.'!$F$19</f>
        <v>8.150344410149911</v>
      </c>
      <c r="AB58" s="532">
        <f>'[2]1.1.38.'!$F$20</f>
        <v>8.801133970935505</v>
      </c>
    </row>
    <row r="59" spans="2:28" s="507" customFormat="1" ht="135">
      <c r="B59" s="48" t="s">
        <v>153</v>
      </c>
      <c r="C59" s="537" t="s">
        <v>154</v>
      </c>
      <c r="D59" s="519" t="s">
        <v>544</v>
      </c>
      <c r="E59" s="519" t="s">
        <v>559</v>
      </c>
      <c r="F59" s="210"/>
      <c r="G59" s="210"/>
      <c r="H59" s="210">
        <v>2.61</v>
      </c>
      <c r="I59" s="520"/>
      <c r="J59" s="210">
        <v>2015</v>
      </c>
      <c r="K59" s="210">
        <v>2015</v>
      </c>
      <c r="L59" s="210" t="s">
        <v>379</v>
      </c>
      <c r="M59" s="210" t="s">
        <v>379</v>
      </c>
      <c r="N59" s="210" t="s">
        <v>379</v>
      </c>
      <c r="O59" s="210" t="s">
        <v>379</v>
      </c>
      <c r="P59" s="210">
        <v>0</v>
      </c>
      <c r="Q59" s="210">
        <v>0</v>
      </c>
      <c r="R59" s="521">
        <f>'приложение 1.1'!I59</f>
        <v>18.34</v>
      </c>
      <c r="S59" s="522"/>
      <c r="T59" s="523">
        <f t="shared" si="0"/>
        <v>18.34</v>
      </c>
      <c r="U59" s="210"/>
      <c r="V59" s="207" t="s">
        <v>576</v>
      </c>
      <c r="W59" s="207" t="s">
        <v>561</v>
      </c>
      <c r="X59" s="207" t="s">
        <v>562</v>
      </c>
      <c r="Y59" s="520">
        <f>'[2]1.1.39.'!$F$21/1000000</f>
        <v>8.85188671484725</v>
      </c>
      <c r="Z59" s="526">
        <f>'[2]1.1.39.'!$L$86</f>
        <v>0.0921511088062621</v>
      </c>
      <c r="AA59" s="522">
        <f>'[2]1.1.39.'!$F$19</f>
        <v>8.15034473546822</v>
      </c>
      <c r="AB59" s="532">
        <f>'[2]1.1.39.'!$F$20</f>
        <v>8.801134424856857</v>
      </c>
    </row>
    <row r="60" spans="2:28" s="507" customFormat="1" ht="135">
      <c r="B60" s="48" t="s">
        <v>155</v>
      </c>
      <c r="C60" s="538" t="s">
        <v>156</v>
      </c>
      <c r="D60" s="519" t="s">
        <v>544</v>
      </c>
      <c r="E60" s="519" t="s">
        <v>559</v>
      </c>
      <c r="F60" s="210"/>
      <c r="G60" s="210"/>
      <c r="H60" s="210">
        <v>7.17</v>
      </c>
      <c r="I60" s="520"/>
      <c r="J60" s="210">
        <v>2015</v>
      </c>
      <c r="K60" s="210">
        <v>2015</v>
      </c>
      <c r="L60" s="210" t="s">
        <v>379</v>
      </c>
      <c r="M60" s="210" t="s">
        <v>379</v>
      </c>
      <c r="N60" s="210" t="s">
        <v>379</v>
      </c>
      <c r="O60" s="210" t="s">
        <v>379</v>
      </c>
      <c r="P60" s="210">
        <v>0</v>
      </c>
      <c r="Q60" s="210">
        <v>0</v>
      </c>
      <c r="R60" s="521">
        <f>'приложение 1.1'!I60</f>
        <v>0.95</v>
      </c>
      <c r="S60" s="522"/>
      <c r="T60" s="523">
        <f t="shared" si="0"/>
        <v>0.95</v>
      </c>
      <c r="U60" s="210"/>
      <c r="V60" s="207" t="s">
        <v>576</v>
      </c>
      <c r="W60" s="207" t="s">
        <v>561</v>
      </c>
      <c r="X60" s="207" t="s">
        <v>562</v>
      </c>
      <c r="Y60" s="520">
        <f>'[2]1.1.40.'!$F$21/1000000</f>
        <v>0.17968811517243763</v>
      </c>
      <c r="Z60" s="526">
        <f>'[2]1.1.40.'!$L$86</f>
        <v>0.058741415469336644</v>
      </c>
      <c r="AA60" s="522">
        <f>'[2]1.1.40.'!$F$19</f>
        <v>8.803887439636831</v>
      </c>
      <c r="AB60" s="532">
        <f>'[2]1.1.40.'!$F$20</f>
        <v>9.445022384938119</v>
      </c>
    </row>
    <row r="61" spans="2:28" s="507" customFormat="1" ht="135">
      <c r="B61" s="48" t="s">
        <v>157</v>
      </c>
      <c r="C61" s="538" t="s">
        <v>158</v>
      </c>
      <c r="D61" s="519" t="s">
        <v>544</v>
      </c>
      <c r="E61" s="519" t="s">
        <v>559</v>
      </c>
      <c r="F61" s="210"/>
      <c r="G61" s="210"/>
      <c r="H61" s="210">
        <v>0.06</v>
      </c>
      <c r="I61" s="520"/>
      <c r="J61" s="210">
        <v>2015</v>
      </c>
      <c r="K61" s="210">
        <v>2015</v>
      </c>
      <c r="L61" s="210" t="s">
        <v>379</v>
      </c>
      <c r="M61" s="210" t="s">
        <v>379</v>
      </c>
      <c r="N61" s="210" t="s">
        <v>379</v>
      </c>
      <c r="O61" s="210" t="s">
        <v>379</v>
      </c>
      <c r="P61" s="210">
        <v>0</v>
      </c>
      <c r="Q61" s="210">
        <v>0</v>
      </c>
      <c r="R61" s="521">
        <f>'приложение 1.1'!I61</f>
        <v>0.37</v>
      </c>
      <c r="S61" s="522"/>
      <c r="T61" s="523">
        <f t="shared" si="0"/>
        <v>0.37</v>
      </c>
      <c r="U61" s="210"/>
      <c r="V61" s="207" t="s">
        <v>576</v>
      </c>
      <c r="W61" s="207" t="s">
        <v>561</v>
      </c>
      <c r="X61" s="207" t="s">
        <v>562</v>
      </c>
      <c r="Y61" s="520">
        <f>'[2]1.1.41.'!$F$21/1000000</f>
        <v>0.17858342236599828</v>
      </c>
      <c r="Z61" s="526">
        <f>'[2]1.1.41.'!$L$86</f>
        <v>0.09215149747319606</v>
      </c>
      <c r="AA61" s="522">
        <f>'[2]1.1.41.'!$F$19</f>
        <v>8.150338517818815</v>
      </c>
      <c r="AB61" s="532">
        <f>'[2]1.1.41.'!$F$20</f>
        <v>8.801125643395732</v>
      </c>
    </row>
    <row r="62" spans="2:28" s="507" customFormat="1" ht="135">
      <c r="B62" s="48" t="s">
        <v>159</v>
      </c>
      <c r="C62" s="533" t="s">
        <v>160</v>
      </c>
      <c r="D62" s="519" t="s">
        <v>544</v>
      </c>
      <c r="E62" s="519" t="s">
        <v>545</v>
      </c>
      <c r="F62" s="210"/>
      <c r="G62" s="210"/>
      <c r="H62" s="210">
        <v>1.97</v>
      </c>
      <c r="I62" s="520"/>
      <c r="J62" s="210">
        <v>2015</v>
      </c>
      <c r="K62" s="210">
        <v>2015</v>
      </c>
      <c r="L62" s="210" t="s">
        <v>379</v>
      </c>
      <c r="M62" s="210" t="s">
        <v>379</v>
      </c>
      <c r="N62" s="210" t="s">
        <v>379</v>
      </c>
      <c r="O62" s="210" t="s">
        <v>379</v>
      </c>
      <c r="P62" s="210">
        <v>0</v>
      </c>
      <c r="Q62" s="210">
        <v>0</v>
      </c>
      <c r="R62" s="521">
        <f>'приложение 1.1'!I62</f>
        <v>0.82</v>
      </c>
      <c r="S62" s="522"/>
      <c r="T62" s="523">
        <f t="shared" si="0"/>
        <v>0.82</v>
      </c>
      <c r="U62" s="210"/>
      <c r="V62" s="207" t="s">
        <v>576</v>
      </c>
      <c r="W62" s="207" t="s">
        <v>561</v>
      </c>
      <c r="X62" s="207" t="s">
        <v>562</v>
      </c>
      <c r="Y62" s="520">
        <f>'[2]1.1.42.'!$F$21/1000000</f>
        <v>0.39789043486356124</v>
      </c>
      <c r="Z62" s="526">
        <f>'[2]1.1.42.'!$L$86</f>
        <v>0.0925414946095453</v>
      </c>
      <c r="AA62" s="522">
        <f>'[2]1.1.42.'!$F$19</f>
        <v>8.145368344093496</v>
      </c>
      <c r="AB62" s="532">
        <f>'[2]1.1.42.'!$F$20</f>
        <v>8.793087935384268</v>
      </c>
    </row>
    <row r="63" spans="2:28" s="507" customFormat="1" ht="135">
      <c r="B63" s="48" t="s">
        <v>161</v>
      </c>
      <c r="C63" s="533" t="s">
        <v>162</v>
      </c>
      <c r="D63" s="519" t="s">
        <v>544</v>
      </c>
      <c r="E63" s="519" t="s">
        <v>559</v>
      </c>
      <c r="F63" s="210"/>
      <c r="G63" s="210"/>
      <c r="H63" s="210">
        <v>3.69</v>
      </c>
      <c r="I63" s="520"/>
      <c r="J63" s="210">
        <v>2015</v>
      </c>
      <c r="K63" s="210">
        <v>2015</v>
      </c>
      <c r="L63" s="210" t="s">
        <v>379</v>
      </c>
      <c r="M63" s="210" t="s">
        <v>379</v>
      </c>
      <c r="N63" s="210" t="s">
        <v>379</v>
      </c>
      <c r="O63" s="210" t="s">
        <v>379</v>
      </c>
      <c r="P63" s="210">
        <v>0</v>
      </c>
      <c r="Q63" s="210">
        <v>0</v>
      </c>
      <c r="R63" s="521">
        <f>'приложение 1.1'!I63</f>
        <v>1.04</v>
      </c>
      <c r="S63" s="522"/>
      <c r="T63" s="523">
        <f t="shared" si="0"/>
        <v>1.04</v>
      </c>
      <c r="U63" s="210"/>
      <c r="V63" s="207" t="s">
        <v>576</v>
      </c>
      <c r="W63" s="207" t="s">
        <v>561</v>
      </c>
      <c r="X63" s="207" t="s">
        <v>562</v>
      </c>
      <c r="Y63" s="520">
        <f>'[2]1.1.43.'!$F$21/1000000</f>
        <v>0.5019668058845402</v>
      </c>
      <c r="Z63" s="526">
        <f>'[2]1.1.43.'!$L$86</f>
        <v>0.0921517083350829</v>
      </c>
      <c r="AA63" s="522">
        <f>'[2]1.1.43.'!$F$19</f>
        <v>8.150335116913743</v>
      </c>
      <c r="AB63" s="532">
        <f>'[2]1.1.43.'!$F$20</f>
        <v>8.80112085964551</v>
      </c>
    </row>
    <row r="64" spans="2:28" s="507" customFormat="1" ht="135">
      <c r="B64" s="48" t="s">
        <v>163</v>
      </c>
      <c r="C64" s="533" t="s">
        <v>164</v>
      </c>
      <c r="D64" s="519" t="s">
        <v>544</v>
      </c>
      <c r="E64" s="519" t="s">
        <v>559</v>
      </c>
      <c r="F64" s="210"/>
      <c r="G64" s="210"/>
      <c r="H64" s="210">
        <v>2.83</v>
      </c>
      <c r="I64" s="520"/>
      <c r="J64" s="210">
        <v>2015</v>
      </c>
      <c r="K64" s="210">
        <v>2015</v>
      </c>
      <c r="L64" s="210" t="s">
        <v>379</v>
      </c>
      <c r="M64" s="210" t="s">
        <v>379</v>
      </c>
      <c r="N64" s="210" t="s">
        <v>379</v>
      </c>
      <c r="O64" s="210" t="s">
        <v>379</v>
      </c>
      <c r="P64" s="210">
        <v>0</v>
      </c>
      <c r="Q64" s="210">
        <v>0</v>
      </c>
      <c r="R64" s="521">
        <f>'приложение 1.1'!I64</f>
        <v>0.31</v>
      </c>
      <c r="S64" s="522"/>
      <c r="T64" s="523">
        <f t="shared" si="0"/>
        <v>0.31</v>
      </c>
      <c r="U64" s="210"/>
      <c r="V64" s="207" t="s">
        <v>576</v>
      </c>
      <c r="W64" s="207" t="s">
        <v>561</v>
      </c>
      <c r="X64" s="207" t="s">
        <v>562</v>
      </c>
      <c r="Y64" s="520">
        <f>'[2]1.1.44.'!$F$21/1000000</f>
        <v>0.1544089435467212</v>
      </c>
      <c r="Z64" s="526">
        <f>'[2]1.1.44.'!$L$86</f>
        <v>0.09400084332348912</v>
      </c>
      <c r="AA64" s="522">
        <f>'[2]1.1.44.'!$F$19</f>
        <v>8.111658736746428</v>
      </c>
      <c r="AB64" s="532">
        <f>'[2]1.1.44.'!$F$20</f>
        <v>8.75166922898995</v>
      </c>
    </row>
    <row r="65" spans="2:28" s="507" customFormat="1" ht="135">
      <c r="B65" s="48" t="s">
        <v>165</v>
      </c>
      <c r="C65" s="533" t="s">
        <v>166</v>
      </c>
      <c r="D65" s="519" t="s">
        <v>544</v>
      </c>
      <c r="E65" s="519" t="s">
        <v>559</v>
      </c>
      <c r="F65" s="210"/>
      <c r="G65" s="210"/>
      <c r="H65" s="210">
        <v>4.21</v>
      </c>
      <c r="I65" s="520"/>
      <c r="J65" s="210">
        <v>2015</v>
      </c>
      <c r="K65" s="210">
        <v>2015</v>
      </c>
      <c r="L65" s="210" t="s">
        <v>379</v>
      </c>
      <c r="M65" s="210" t="s">
        <v>379</v>
      </c>
      <c r="N65" s="210" t="s">
        <v>379</v>
      </c>
      <c r="O65" s="210" t="s">
        <v>379</v>
      </c>
      <c r="P65" s="210">
        <v>0</v>
      </c>
      <c r="Q65" s="210">
        <v>0</v>
      </c>
      <c r="R65" s="521">
        <f>'приложение 1.1'!I65</f>
        <v>1.27</v>
      </c>
      <c r="S65" s="522"/>
      <c r="T65" s="523">
        <f t="shared" si="0"/>
        <v>1.27</v>
      </c>
      <c r="U65" s="210"/>
      <c r="V65" s="207" t="s">
        <v>576</v>
      </c>
      <c r="W65" s="207" t="s">
        <v>561</v>
      </c>
      <c r="X65" s="207" t="s">
        <v>562</v>
      </c>
      <c r="Y65" s="520">
        <f>'[2]1.1.45.'!$F$21/1000000</f>
        <v>0.6325388990572898</v>
      </c>
      <c r="Z65" s="526">
        <f>'[2]1.1.45.'!$L$86</f>
        <v>0.0939975866234557</v>
      </c>
      <c r="AA65" s="522">
        <f>'[2]1.1.45.'!$F$19</f>
        <v>8.111710062710776</v>
      </c>
      <c r="AB65" s="532">
        <f>'[2]1.1.45.'!$F$20</f>
        <v>8.75174169979686</v>
      </c>
    </row>
    <row r="66" spans="2:28" s="507" customFormat="1" ht="135">
      <c r="B66" s="48" t="s">
        <v>167</v>
      </c>
      <c r="C66" s="533" t="s">
        <v>168</v>
      </c>
      <c r="D66" s="519" t="s">
        <v>544</v>
      </c>
      <c r="E66" s="519" t="s">
        <v>559</v>
      </c>
      <c r="F66" s="210"/>
      <c r="G66" s="210"/>
      <c r="H66" s="210">
        <v>0.99</v>
      </c>
      <c r="I66" s="520"/>
      <c r="J66" s="210">
        <v>2015</v>
      </c>
      <c r="K66" s="210">
        <v>2015</v>
      </c>
      <c r="L66" s="210" t="s">
        <v>379</v>
      </c>
      <c r="M66" s="210" t="s">
        <v>379</v>
      </c>
      <c r="N66" s="210" t="s">
        <v>379</v>
      </c>
      <c r="O66" s="210" t="s">
        <v>379</v>
      </c>
      <c r="P66" s="210">
        <v>0</v>
      </c>
      <c r="Q66" s="210">
        <v>0</v>
      </c>
      <c r="R66" s="521">
        <f>'приложение 1.1'!I66</f>
        <v>0.55</v>
      </c>
      <c r="S66" s="522"/>
      <c r="T66" s="523">
        <f t="shared" si="0"/>
        <v>0.55</v>
      </c>
      <c r="U66" s="210"/>
      <c r="V66" s="207" t="s">
        <v>576</v>
      </c>
      <c r="W66" s="207" t="s">
        <v>561</v>
      </c>
      <c r="X66" s="207" t="s">
        <v>562</v>
      </c>
      <c r="Y66" s="520">
        <f>'[2]1.1.46.'!$F$21/1000000</f>
        <v>0.2654566479163884</v>
      </c>
      <c r="Z66" s="526">
        <f>'[2]1.1.46.'!$L$86</f>
        <v>0.09215042221786018</v>
      </c>
      <c r="AA66" s="522">
        <f>'[2]1.1.46.'!$F$19</f>
        <v>8.15035573876184</v>
      </c>
      <c r="AB66" s="532">
        <f>'[2]1.1.46.'!$F$20</f>
        <v>8.80114995146864</v>
      </c>
    </row>
    <row r="67" spans="2:28" s="507" customFormat="1" ht="120">
      <c r="B67" s="48" t="s">
        <v>169</v>
      </c>
      <c r="C67" s="256" t="s">
        <v>170</v>
      </c>
      <c r="D67" s="519" t="s">
        <v>544</v>
      </c>
      <c r="E67" s="519" t="s">
        <v>577</v>
      </c>
      <c r="F67" s="210"/>
      <c r="G67" s="210"/>
      <c r="H67" s="210">
        <v>0.46</v>
      </c>
      <c r="I67" s="520"/>
      <c r="J67" s="210">
        <v>2015</v>
      </c>
      <c r="K67" s="210">
        <v>2015</v>
      </c>
      <c r="L67" s="210" t="s">
        <v>379</v>
      </c>
      <c r="M67" s="210" t="s">
        <v>379</v>
      </c>
      <c r="N67" s="210" t="s">
        <v>379</v>
      </c>
      <c r="O67" s="210" t="s">
        <v>379</v>
      </c>
      <c r="P67" s="210">
        <v>0</v>
      </c>
      <c r="Q67" s="210">
        <v>0</v>
      </c>
      <c r="R67" s="521">
        <f>'приложение 1.1'!I67</f>
        <v>0.43</v>
      </c>
      <c r="S67" s="522"/>
      <c r="T67" s="523">
        <f t="shared" si="0"/>
        <v>0.43</v>
      </c>
      <c r="U67" s="210"/>
      <c r="V67" s="207" t="s">
        <v>554</v>
      </c>
      <c r="W67" s="207" t="s">
        <v>555</v>
      </c>
      <c r="X67" s="207" t="s">
        <v>556</v>
      </c>
      <c r="Y67" s="520">
        <f>'[2]1.1.47.'!$F$21/1000000</f>
        <v>0.0951552714858715</v>
      </c>
      <c r="Z67" s="526">
        <f>'[2]1.1.47.'!$L$86</f>
        <v>0.0629012544070906</v>
      </c>
      <c r="AA67" s="522">
        <f>'[2]1.1.47.'!$F$19</f>
        <v>8.692206378903458</v>
      </c>
      <c r="AB67" s="532">
        <f>'[2]1.1.47.'!$F$20</f>
        <v>9.356895464347078</v>
      </c>
    </row>
    <row r="68" spans="2:28" s="507" customFormat="1" ht="135">
      <c r="B68" s="48" t="s">
        <v>171</v>
      </c>
      <c r="C68" s="260" t="s">
        <v>172</v>
      </c>
      <c r="D68" s="519" t="s">
        <v>544</v>
      </c>
      <c r="E68" s="519" t="s">
        <v>559</v>
      </c>
      <c r="F68" s="210"/>
      <c r="G68" s="210"/>
      <c r="H68" s="210">
        <v>0.16</v>
      </c>
      <c r="I68" s="520"/>
      <c r="J68" s="210">
        <v>2015</v>
      </c>
      <c r="K68" s="210">
        <v>2015</v>
      </c>
      <c r="L68" s="210" t="s">
        <v>379</v>
      </c>
      <c r="M68" s="210" t="s">
        <v>379</v>
      </c>
      <c r="N68" s="210" t="s">
        <v>379</v>
      </c>
      <c r="O68" s="210" t="s">
        <v>379</v>
      </c>
      <c r="P68" s="210">
        <v>0</v>
      </c>
      <c r="Q68" s="210">
        <v>0</v>
      </c>
      <c r="R68" s="521">
        <f>'приложение 1.1'!I68</f>
        <v>0.34</v>
      </c>
      <c r="S68" s="522"/>
      <c r="T68" s="523">
        <f t="shared" si="0"/>
        <v>0.34</v>
      </c>
      <c r="U68" s="210"/>
      <c r="V68" s="207" t="s">
        <v>576</v>
      </c>
      <c r="W68" s="207" t="s">
        <v>561</v>
      </c>
      <c r="X68" s="207" t="s">
        <v>562</v>
      </c>
      <c r="Y68" s="520">
        <f>'[2]1.1.48.'!$F$21/1000000</f>
        <v>0.08883883873451101</v>
      </c>
      <c r="Z68" s="526">
        <f>'[2]1.1.48.'!$L$86</f>
        <v>0.06788997455188128</v>
      </c>
      <c r="AA68" s="522">
        <f>'[2]1.1.48.'!$F$19</f>
        <v>8.556520837825184</v>
      </c>
      <c r="AB68" s="532">
        <f>'[2]1.1.48.'!$F$20</f>
        <v>9.249122844266145</v>
      </c>
    </row>
    <row r="69" spans="2:28" s="507" customFormat="1" ht="120">
      <c r="B69" s="48" t="s">
        <v>173</v>
      </c>
      <c r="C69" s="256" t="s">
        <v>174</v>
      </c>
      <c r="D69" s="519" t="s">
        <v>544</v>
      </c>
      <c r="E69" s="519" t="s">
        <v>553</v>
      </c>
      <c r="F69" s="210"/>
      <c r="G69" s="210"/>
      <c r="H69" s="210">
        <v>0.5</v>
      </c>
      <c r="I69" s="520"/>
      <c r="J69" s="210">
        <v>2015</v>
      </c>
      <c r="K69" s="210">
        <v>2015</v>
      </c>
      <c r="L69" s="210" t="s">
        <v>379</v>
      </c>
      <c r="M69" s="210" t="s">
        <v>379</v>
      </c>
      <c r="N69" s="210" t="s">
        <v>379</v>
      </c>
      <c r="O69" s="210" t="s">
        <v>379</v>
      </c>
      <c r="P69" s="210">
        <v>0</v>
      </c>
      <c r="Q69" s="210">
        <v>0</v>
      </c>
      <c r="R69" s="521">
        <f>'приложение 1.1'!I69</f>
        <v>0.62</v>
      </c>
      <c r="S69" s="522"/>
      <c r="T69" s="523">
        <f t="shared" si="0"/>
        <v>0.62</v>
      </c>
      <c r="U69" s="210"/>
      <c r="V69" s="207" t="s">
        <v>554</v>
      </c>
      <c r="W69" s="207" t="s">
        <v>555</v>
      </c>
      <c r="X69" s="207" t="s">
        <v>556</v>
      </c>
      <c r="Y69" s="520">
        <f>'[2]1.1.49.'!$F$21/1000000</f>
        <v>0.14833216774144364</v>
      </c>
      <c r="Z69" s="526">
        <f>'[2]1.1.49.'!$L$86</f>
        <v>0.06514696755868021</v>
      </c>
      <c r="AA69" s="522">
        <f>'[2]1.1.49.'!$F$19</f>
        <v>8.630730104539143</v>
      </c>
      <c r="AB69" s="532">
        <f>'[2]1.1.49.'!$F$20</f>
        <v>9.30823513450568</v>
      </c>
    </row>
    <row r="70" spans="2:28" s="507" customFormat="1" ht="103.5" customHeight="1">
      <c r="B70" s="48" t="s">
        <v>175</v>
      </c>
      <c r="C70" s="534" t="s">
        <v>176</v>
      </c>
      <c r="D70" s="519" t="s">
        <v>544</v>
      </c>
      <c r="E70" s="519" t="s">
        <v>578</v>
      </c>
      <c r="F70" s="210">
        <v>1.26</v>
      </c>
      <c r="G70" s="210"/>
      <c r="H70" s="210"/>
      <c r="I70" s="520"/>
      <c r="J70" s="210">
        <v>2015</v>
      </c>
      <c r="K70" s="210">
        <v>2015</v>
      </c>
      <c r="L70" s="210" t="s">
        <v>379</v>
      </c>
      <c r="M70" s="210" t="s">
        <v>379</v>
      </c>
      <c r="N70" s="210" t="s">
        <v>379</v>
      </c>
      <c r="O70" s="210" t="s">
        <v>379</v>
      </c>
      <c r="P70" s="210">
        <v>0</v>
      </c>
      <c r="Q70" s="210">
        <v>0</v>
      </c>
      <c r="R70" s="521">
        <f>'приложение 1.1'!I70</f>
        <v>0.37</v>
      </c>
      <c r="S70" s="522"/>
      <c r="T70" s="523">
        <f t="shared" si="0"/>
        <v>0.37</v>
      </c>
      <c r="U70" s="210"/>
      <c r="V70" s="207" t="s">
        <v>560</v>
      </c>
      <c r="W70" s="207" t="s">
        <v>561</v>
      </c>
      <c r="X70" s="207" t="s">
        <v>562</v>
      </c>
      <c r="Y70" s="520">
        <f>'[2]1.1.50.'!$F$21/1000000</f>
        <v>0.30027616261991474</v>
      </c>
      <c r="Z70" s="526">
        <f>'[2]1.1.50.'!$L$86</f>
        <v>0.1206076960021758</v>
      </c>
      <c r="AA70" s="522">
        <f>'[2]1.1.50.'!$F$19</f>
        <v>7.802268757223693</v>
      </c>
      <c r="AB70" s="532">
        <f>'[2]1.1.50.'!$F$20</f>
        <v>8.34887299510243</v>
      </c>
    </row>
    <row r="71" spans="2:28" s="507" customFormat="1" ht="111" customHeight="1">
      <c r="B71" s="48" t="s">
        <v>177</v>
      </c>
      <c r="C71" s="534" t="s">
        <v>178</v>
      </c>
      <c r="D71" s="519" t="s">
        <v>544</v>
      </c>
      <c r="E71" s="519" t="s">
        <v>578</v>
      </c>
      <c r="F71" s="210">
        <v>1.26</v>
      </c>
      <c r="G71" s="210"/>
      <c r="H71" s="210"/>
      <c r="I71" s="520"/>
      <c r="J71" s="210">
        <v>2015</v>
      </c>
      <c r="K71" s="210">
        <v>2015</v>
      </c>
      <c r="L71" s="210" t="s">
        <v>379</v>
      </c>
      <c r="M71" s="210" t="s">
        <v>379</v>
      </c>
      <c r="N71" s="210" t="s">
        <v>379</v>
      </c>
      <c r="O71" s="210" t="s">
        <v>379</v>
      </c>
      <c r="P71" s="210">
        <v>0</v>
      </c>
      <c r="Q71" s="210">
        <v>0</v>
      </c>
      <c r="R71" s="521">
        <f>'приложение 1.1'!I71</f>
        <v>0.35</v>
      </c>
      <c r="S71" s="522"/>
      <c r="T71" s="523">
        <f t="shared" si="0"/>
        <v>0.35</v>
      </c>
      <c r="U71" s="210"/>
      <c r="V71" s="207" t="s">
        <v>560</v>
      </c>
      <c r="W71" s="207" t="s">
        <v>561</v>
      </c>
      <c r="X71" s="207" t="s">
        <v>562</v>
      </c>
      <c r="Y71" s="520">
        <f>'[2]1.1.51.'!$F$21/1000000</f>
        <v>0.2844375246104794</v>
      </c>
      <c r="Z71" s="526">
        <f>'[2]1.1.51.'!$L$86</f>
        <v>0.1207191126527607</v>
      </c>
      <c r="AA71" s="522">
        <f>'[2]1.1.51.'!$F$19</f>
        <v>7.799024477078884</v>
      </c>
      <c r="AB71" s="532">
        <f>'[2]1.1.51.'!$F$20</f>
        <v>8.34628904264376</v>
      </c>
    </row>
    <row r="72" spans="2:28" s="507" customFormat="1" ht="107.25" customHeight="1">
      <c r="B72" s="48" t="s">
        <v>179</v>
      </c>
      <c r="C72" s="534" t="s">
        <v>180</v>
      </c>
      <c r="D72" s="519" t="s">
        <v>544</v>
      </c>
      <c r="E72" s="519" t="s">
        <v>578</v>
      </c>
      <c r="F72" s="210">
        <v>2</v>
      </c>
      <c r="G72" s="210"/>
      <c r="H72" s="210"/>
      <c r="I72" s="520"/>
      <c r="J72" s="210">
        <v>2015</v>
      </c>
      <c r="K72" s="210">
        <v>2015</v>
      </c>
      <c r="L72" s="210" t="s">
        <v>379</v>
      </c>
      <c r="M72" s="210" t="s">
        <v>379</v>
      </c>
      <c r="N72" s="210" t="s">
        <v>379</v>
      </c>
      <c r="O72" s="210" t="s">
        <v>379</v>
      </c>
      <c r="P72" s="210">
        <v>0</v>
      </c>
      <c r="Q72" s="210">
        <v>0</v>
      </c>
      <c r="R72" s="521">
        <f>'приложение 1.1'!I72</f>
        <v>2.3309999999999995</v>
      </c>
      <c r="S72" s="522"/>
      <c r="T72" s="523">
        <f t="shared" si="0"/>
        <v>2.3309999999999995</v>
      </c>
      <c r="U72" s="210"/>
      <c r="V72" s="207" t="s">
        <v>560</v>
      </c>
      <c r="W72" s="207" t="s">
        <v>561</v>
      </c>
      <c r="X72" s="207" t="s">
        <v>562</v>
      </c>
      <c r="Y72" s="520">
        <f>'[2]1.1.52.'!$F$21/1000000</f>
        <v>1.900044260633849</v>
      </c>
      <c r="Z72" s="526">
        <f>'[2]1.1.52.'!$L$86</f>
        <v>0.12096265292160502</v>
      </c>
      <c r="AA72" s="522">
        <f>'[2]1.1.52.'!$F$19</f>
        <v>7.791848309651832</v>
      </c>
      <c r="AB72" s="532">
        <f>'[2]1.1.52.'!$F$20</f>
        <v>8.340584597889677</v>
      </c>
    </row>
    <row r="73" spans="2:28" s="507" customFormat="1" ht="107.25" customHeight="1">
      <c r="B73" s="48" t="s">
        <v>181</v>
      </c>
      <c r="C73" s="534" t="s">
        <v>182</v>
      </c>
      <c r="D73" s="519" t="s">
        <v>544</v>
      </c>
      <c r="E73" s="519" t="s">
        <v>578</v>
      </c>
      <c r="F73" s="210">
        <v>1.26</v>
      </c>
      <c r="G73" s="210"/>
      <c r="H73" s="210"/>
      <c r="I73" s="520"/>
      <c r="J73" s="210">
        <v>2015</v>
      </c>
      <c r="K73" s="210">
        <v>2015</v>
      </c>
      <c r="L73" s="210" t="s">
        <v>379</v>
      </c>
      <c r="M73" s="210" t="s">
        <v>379</v>
      </c>
      <c r="N73" s="210" t="s">
        <v>379</v>
      </c>
      <c r="O73" s="210" t="s">
        <v>379</v>
      </c>
      <c r="P73" s="210">
        <v>0</v>
      </c>
      <c r="Q73" s="210">
        <v>0</v>
      </c>
      <c r="R73" s="521">
        <f>'приложение 1.1'!I73</f>
        <v>2.84</v>
      </c>
      <c r="S73" s="522"/>
      <c r="T73" s="523">
        <f t="shared" si="0"/>
        <v>2.84</v>
      </c>
      <c r="U73" s="210"/>
      <c r="V73" s="207" t="s">
        <v>560</v>
      </c>
      <c r="W73" s="207" t="s">
        <v>561</v>
      </c>
      <c r="X73" s="207" t="s">
        <v>562</v>
      </c>
      <c r="Y73" s="520">
        <f>'[2]1.1.53.'!$F$21/1000000</f>
        <v>2.3149404863823007</v>
      </c>
      <c r="Z73" s="526">
        <f>'[2]1.1.53.'!$L$86</f>
        <v>0.12096265816998342</v>
      </c>
      <c r="AA73" s="522">
        <f>'[2]1.1.53.'!$F$19</f>
        <v>7.7918482046188</v>
      </c>
      <c r="AB73" s="532">
        <f>'[2]1.1.53.'!$F$20</f>
        <v>8.340584508661767</v>
      </c>
    </row>
    <row r="74" spans="2:28" s="507" customFormat="1" ht="103.5" customHeight="1">
      <c r="B74" s="48" t="s">
        <v>183</v>
      </c>
      <c r="C74" s="534" t="s">
        <v>184</v>
      </c>
      <c r="D74" s="519" t="s">
        <v>544</v>
      </c>
      <c r="E74" s="519" t="s">
        <v>553</v>
      </c>
      <c r="F74" s="210">
        <v>2</v>
      </c>
      <c r="G74" s="210"/>
      <c r="H74" s="210"/>
      <c r="I74" s="520"/>
      <c r="J74" s="210">
        <v>2015</v>
      </c>
      <c r="K74" s="210">
        <v>2015</v>
      </c>
      <c r="L74" s="210" t="s">
        <v>379</v>
      </c>
      <c r="M74" s="210" t="s">
        <v>379</v>
      </c>
      <c r="N74" s="210" t="s">
        <v>379</v>
      </c>
      <c r="O74" s="210" t="s">
        <v>379</v>
      </c>
      <c r="P74" s="210">
        <v>0</v>
      </c>
      <c r="Q74" s="210">
        <v>0</v>
      </c>
      <c r="R74" s="521">
        <f>'приложение 1.1'!I74</f>
        <v>0.29</v>
      </c>
      <c r="S74" s="522"/>
      <c r="T74" s="523">
        <f t="shared" si="0"/>
        <v>0.29</v>
      </c>
      <c r="U74" s="210"/>
      <c r="V74" s="207" t="s">
        <v>560</v>
      </c>
      <c r="W74" s="207" t="s">
        <v>561</v>
      </c>
      <c r="X74" s="207" t="s">
        <v>562</v>
      </c>
      <c r="Y74" s="520">
        <f>'[2]1.1.54.'!$F$21/1000000</f>
        <v>0.23565545790764922</v>
      </c>
      <c r="Z74" s="526">
        <f>'[2]1.1.54.'!$L$86</f>
        <v>0.1207123331786466</v>
      </c>
      <c r="AA74" s="522">
        <f>'[2]1.1.54.'!$F$19</f>
        <v>7.799160314515325</v>
      </c>
      <c r="AB74" s="532">
        <f>'[2]1.1.54.'!$F$20</f>
        <v>8.346406571114583</v>
      </c>
    </row>
    <row r="75" spans="2:28" s="507" customFormat="1" ht="105" customHeight="1">
      <c r="B75" s="48" t="s">
        <v>185</v>
      </c>
      <c r="C75" s="534" t="s">
        <v>186</v>
      </c>
      <c r="D75" s="519" t="s">
        <v>544</v>
      </c>
      <c r="E75" s="519" t="s">
        <v>553</v>
      </c>
      <c r="F75" s="210">
        <v>0.8</v>
      </c>
      <c r="G75" s="210"/>
      <c r="H75" s="210"/>
      <c r="I75" s="520"/>
      <c r="J75" s="210">
        <v>2015</v>
      </c>
      <c r="K75" s="210">
        <v>2015</v>
      </c>
      <c r="L75" s="210" t="s">
        <v>379</v>
      </c>
      <c r="M75" s="210" t="s">
        <v>379</v>
      </c>
      <c r="N75" s="210" t="s">
        <v>379</v>
      </c>
      <c r="O75" s="210" t="s">
        <v>379</v>
      </c>
      <c r="P75" s="210">
        <v>0</v>
      </c>
      <c r="Q75" s="210">
        <v>0</v>
      </c>
      <c r="R75" s="521">
        <f>'приложение 1.1'!I75</f>
        <v>0.29</v>
      </c>
      <c r="S75" s="522"/>
      <c r="T75" s="523">
        <f t="shared" si="0"/>
        <v>0.29</v>
      </c>
      <c r="U75" s="210"/>
      <c r="V75" s="207" t="s">
        <v>560</v>
      </c>
      <c r="W75" s="207" t="s">
        <v>561</v>
      </c>
      <c r="X75" s="207" t="s">
        <v>562</v>
      </c>
      <c r="Y75" s="520">
        <f>'[2]1.1.55.'!$F$21/1000000</f>
        <v>0.23409301579535363</v>
      </c>
      <c r="Z75" s="526">
        <f>'[2]1.1.55.'!$L$86</f>
        <v>0.12017487516445291</v>
      </c>
      <c r="AA75" s="522">
        <f>'[2]1.1.55.'!$F$19</f>
        <v>7.81499721842751</v>
      </c>
      <c r="AB75" s="532">
        <f>'[2]1.1.55.'!$F$20</f>
        <v>8.358987245362744</v>
      </c>
    </row>
    <row r="76" spans="2:28" s="507" customFormat="1" ht="107.25" customHeight="1">
      <c r="B76" s="48" t="s">
        <v>187</v>
      </c>
      <c r="C76" s="534" t="s">
        <v>188</v>
      </c>
      <c r="D76" s="519" t="s">
        <v>544</v>
      </c>
      <c r="E76" s="519" t="s">
        <v>553</v>
      </c>
      <c r="F76" s="210">
        <v>2</v>
      </c>
      <c r="G76" s="210"/>
      <c r="H76" s="210"/>
      <c r="I76" s="520"/>
      <c r="J76" s="210">
        <v>2015</v>
      </c>
      <c r="K76" s="210">
        <v>2016</v>
      </c>
      <c r="L76" s="210" t="s">
        <v>379</v>
      </c>
      <c r="M76" s="210" t="s">
        <v>379</v>
      </c>
      <c r="N76" s="210" t="s">
        <v>379</v>
      </c>
      <c r="O76" s="210" t="s">
        <v>379</v>
      </c>
      <c r="P76" s="210">
        <v>0</v>
      </c>
      <c r="Q76" s="210">
        <v>0</v>
      </c>
      <c r="R76" s="521">
        <f>'приложение 1.1'!I76</f>
        <v>1.53</v>
      </c>
      <c r="S76" s="522"/>
      <c r="T76" s="523">
        <f t="shared" si="0"/>
        <v>1.53</v>
      </c>
      <c r="U76" s="210"/>
      <c r="V76" s="207" t="s">
        <v>560</v>
      </c>
      <c r="W76" s="207" t="s">
        <v>561</v>
      </c>
      <c r="X76" s="207" t="s">
        <v>562</v>
      </c>
      <c r="Y76" s="520">
        <f>'[2]1.1.56.'!$F$21/1000000</f>
        <v>0.23656993811226665</v>
      </c>
      <c r="Z76" s="526">
        <f>'[2]1.1.56.'!$L$86</f>
        <v>0.12102667516584265</v>
      </c>
      <c r="AA76" s="522">
        <f>'[2]1.1.56.'!$F$19</f>
        <v>7.7899252882783845</v>
      </c>
      <c r="AB76" s="532">
        <f>'[2]1.1.56.'!$F$20</f>
        <v>8.339060897760149</v>
      </c>
    </row>
    <row r="77" spans="2:28" s="507" customFormat="1" ht="107.25" customHeight="1">
      <c r="B77" s="48" t="s">
        <v>189</v>
      </c>
      <c r="C77" s="534" t="s">
        <v>190</v>
      </c>
      <c r="D77" s="519" t="s">
        <v>544</v>
      </c>
      <c r="E77" s="519" t="s">
        <v>553</v>
      </c>
      <c r="F77" s="210">
        <v>1.26</v>
      </c>
      <c r="G77" s="210"/>
      <c r="H77" s="210"/>
      <c r="I77" s="520"/>
      <c r="J77" s="210">
        <v>2015</v>
      </c>
      <c r="K77" s="210">
        <v>2015</v>
      </c>
      <c r="L77" s="210" t="s">
        <v>379</v>
      </c>
      <c r="M77" s="210" t="s">
        <v>379</v>
      </c>
      <c r="N77" s="210" t="s">
        <v>379</v>
      </c>
      <c r="O77" s="210" t="s">
        <v>379</v>
      </c>
      <c r="P77" s="210">
        <v>0</v>
      </c>
      <c r="Q77" s="210">
        <v>0</v>
      </c>
      <c r="R77" s="521">
        <f>'приложение 1.1'!I77</f>
        <v>1.8</v>
      </c>
      <c r="S77" s="522"/>
      <c r="T77" s="523">
        <f t="shared" si="0"/>
        <v>1.8</v>
      </c>
      <c r="U77" s="210"/>
      <c r="V77" s="207" t="s">
        <v>579</v>
      </c>
      <c r="W77" s="207" t="s">
        <v>561</v>
      </c>
      <c r="X77" s="207" t="s">
        <v>562</v>
      </c>
      <c r="Y77" s="520">
        <f>'[2]1.1.57.'!$F$21/1000000</f>
        <v>1.467218096881771</v>
      </c>
      <c r="Z77" s="526">
        <f>'[2]1.1.57.'!$L$86</f>
        <v>0.12096277231270047</v>
      </c>
      <c r="AA77" s="522">
        <f>'[2]1.1.57.'!$F$19</f>
        <v>7.791845920774249</v>
      </c>
      <c r="AB77" s="532">
        <f>'[2]1.1.57.'!$F$20</f>
        <v>8.340582532871471</v>
      </c>
    </row>
    <row r="78" spans="2:28" s="507" customFormat="1" ht="105.75" customHeight="1">
      <c r="B78" s="48" t="s">
        <v>191</v>
      </c>
      <c r="C78" s="260" t="s">
        <v>192</v>
      </c>
      <c r="D78" s="519" t="s">
        <v>544</v>
      </c>
      <c r="E78" s="519" t="s">
        <v>553</v>
      </c>
      <c r="F78" s="210">
        <v>2</v>
      </c>
      <c r="G78" s="210"/>
      <c r="H78" s="210"/>
      <c r="I78" s="520"/>
      <c r="J78" s="210">
        <v>2015</v>
      </c>
      <c r="K78" s="210">
        <v>2015</v>
      </c>
      <c r="L78" s="210" t="s">
        <v>379</v>
      </c>
      <c r="M78" s="210" t="s">
        <v>379</v>
      </c>
      <c r="N78" s="210" t="s">
        <v>379</v>
      </c>
      <c r="O78" s="210" t="s">
        <v>379</v>
      </c>
      <c r="P78" s="210">
        <v>0</v>
      </c>
      <c r="Q78" s="210">
        <v>0</v>
      </c>
      <c r="R78" s="521">
        <f>'приложение 1.1'!I78</f>
        <v>0.31</v>
      </c>
      <c r="S78" s="522"/>
      <c r="T78" s="523">
        <f t="shared" si="0"/>
        <v>0.31</v>
      </c>
      <c r="U78" s="210"/>
      <c r="V78" s="207" t="s">
        <v>560</v>
      </c>
      <c r="W78" s="207" t="s">
        <v>561</v>
      </c>
      <c r="X78" s="207" t="s">
        <v>562</v>
      </c>
      <c r="Y78" s="520">
        <f>'[2]1.1.58.'!$F$21/1000000</f>
        <v>0.25269103316079883</v>
      </c>
      <c r="Z78" s="526">
        <f>'[2]1.1.58.'!$L$86</f>
        <v>0.1209637414499325</v>
      </c>
      <c r="AA78" s="522">
        <f>'[2]1.1.58.'!$F$19</f>
        <v>7.791826529373818</v>
      </c>
      <c r="AB78" s="532">
        <f>'[2]1.1.58.'!$F$20</f>
        <v>8.3405657788609</v>
      </c>
    </row>
    <row r="79" spans="2:28" s="507" customFormat="1" ht="90">
      <c r="B79" s="48" t="s">
        <v>193</v>
      </c>
      <c r="C79" s="534" t="s">
        <v>194</v>
      </c>
      <c r="D79" s="519" t="s">
        <v>544</v>
      </c>
      <c r="E79" s="519" t="s">
        <v>553</v>
      </c>
      <c r="F79" s="210">
        <v>2</v>
      </c>
      <c r="G79" s="210"/>
      <c r="H79" s="210"/>
      <c r="I79" s="520"/>
      <c r="J79" s="210">
        <v>2015</v>
      </c>
      <c r="K79" s="210">
        <v>2015</v>
      </c>
      <c r="L79" s="210" t="s">
        <v>379</v>
      </c>
      <c r="M79" s="210" t="s">
        <v>379</v>
      </c>
      <c r="N79" s="210" t="s">
        <v>379</v>
      </c>
      <c r="O79" s="210" t="s">
        <v>379</v>
      </c>
      <c r="P79" s="210">
        <v>0</v>
      </c>
      <c r="Q79" s="210">
        <v>0</v>
      </c>
      <c r="R79" s="521">
        <f>'приложение 1.1'!I79</f>
        <v>1.82</v>
      </c>
      <c r="S79" s="522"/>
      <c r="T79" s="523">
        <f t="shared" si="0"/>
        <v>1.82</v>
      </c>
      <c r="U79" s="210"/>
      <c r="V79" s="207" t="s">
        <v>565</v>
      </c>
      <c r="W79" s="207" t="s">
        <v>566</v>
      </c>
      <c r="X79" s="207" t="s">
        <v>567</v>
      </c>
      <c r="Y79" s="520">
        <f>'[2]1.1.59.'!$F$21/1000000</f>
        <v>1.477053080346975</v>
      </c>
      <c r="Z79" s="526">
        <f>'[2]1.1.59.'!$L$86</f>
        <v>0.12060855248299407</v>
      </c>
      <c r="AA79" s="522">
        <f>'[2]1.1.59.'!$F$19</f>
        <v>7.802251585982358</v>
      </c>
      <c r="AB79" s="532">
        <f>'[2]1.1.59.'!$F$20</f>
        <v>8.348858137093938</v>
      </c>
    </row>
    <row r="80" spans="2:28" s="507" customFormat="1" ht="111" customHeight="1">
      <c r="B80" s="48" t="s">
        <v>195</v>
      </c>
      <c r="C80" s="534" t="s">
        <v>196</v>
      </c>
      <c r="D80" s="519" t="s">
        <v>544</v>
      </c>
      <c r="E80" s="519" t="s">
        <v>575</v>
      </c>
      <c r="F80" s="210">
        <v>2</v>
      </c>
      <c r="G80" s="210"/>
      <c r="H80" s="210"/>
      <c r="I80" s="520"/>
      <c r="J80" s="210">
        <v>2015</v>
      </c>
      <c r="K80" s="210">
        <v>2015</v>
      </c>
      <c r="L80" s="210" t="s">
        <v>379</v>
      </c>
      <c r="M80" s="210" t="s">
        <v>379</v>
      </c>
      <c r="N80" s="210" t="s">
        <v>379</v>
      </c>
      <c r="O80" s="210" t="s">
        <v>379</v>
      </c>
      <c r="P80" s="210">
        <v>0</v>
      </c>
      <c r="Q80" s="210">
        <v>0</v>
      </c>
      <c r="R80" s="521">
        <f>'приложение 1.1'!I80</f>
        <v>1.72</v>
      </c>
      <c r="S80" s="522"/>
      <c r="T80" s="523">
        <f t="shared" si="0"/>
        <v>1.72</v>
      </c>
      <c r="U80" s="210"/>
      <c r="V80" s="207" t="s">
        <v>560</v>
      </c>
      <c r="W80" s="207" t="s">
        <v>561</v>
      </c>
      <c r="X80" s="207" t="s">
        <v>562</v>
      </c>
      <c r="Y80" s="520">
        <f>'[2]1.1.60.'!$F$21/1000000</f>
        <v>1.4085545900362253</v>
      </c>
      <c r="Z80" s="526">
        <f>'[2]1.1.60.'!$L$86</f>
        <v>0.1213420650665693</v>
      </c>
      <c r="AA80" s="522">
        <f>'[2]1.1.60.'!$F$19</f>
        <v>7.780721994957547</v>
      </c>
      <c r="AB80" s="532">
        <f>'[2]1.1.60.'!$F$20</f>
        <v>8.331727399780688</v>
      </c>
    </row>
    <row r="81" spans="2:28" s="507" customFormat="1" ht="105" customHeight="1">
      <c r="B81" s="48" t="s">
        <v>197</v>
      </c>
      <c r="C81" s="534" t="s">
        <v>198</v>
      </c>
      <c r="D81" s="519" t="s">
        <v>544</v>
      </c>
      <c r="E81" s="519" t="s">
        <v>575</v>
      </c>
      <c r="F81" s="210">
        <v>2</v>
      </c>
      <c r="G81" s="210"/>
      <c r="H81" s="210"/>
      <c r="I81" s="520"/>
      <c r="J81" s="210">
        <v>2015</v>
      </c>
      <c r="K81" s="210">
        <v>2015</v>
      </c>
      <c r="L81" s="210" t="s">
        <v>379</v>
      </c>
      <c r="M81" s="210" t="s">
        <v>379</v>
      </c>
      <c r="N81" s="210" t="s">
        <v>379</v>
      </c>
      <c r="O81" s="210" t="s">
        <v>379</v>
      </c>
      <c r="P81" s="210">
        <v>0</v>
      </c>
      <c r="Q81" s="210">
        <v>0</v>
      </c>
      <c r="R81" s="521">
        <f>'приложение 1.1'!I81</f>
        <v>0.3</v>
      </c>
      <c r="S81" s="522"/>
      <c r="T81" s="523">
        <f t="shared" si="0"/>
        <v>0.3</v>
      </c>
      <c r="U81" s="210"/>
      <c r="V81" s="207" t="s">
        <v>560</v>
      </c>
      <c r="W81" s="207" t="s">
        <v>561</v>
      </c>
      <c r="X81" s="207" t="s">
        <v>562</v>
      </c>
      <c r="Y81" s="520">
        <f>'[2]1.1.61.'!$F$21/1000000</f>
        <v>0.24380859676087913</v>
      </c>
      <c r="Z81" s="526">
        <f>'[2]1.1.61.'!$L$86</f>
        <v>0.12072068159280258</v>
      </c>
      <c r="AA81" s="522">
        <f>'[2]1.1.61.'!$F$19</f>
        <v>7.798993040834692</v>
      </c>
      <c r="AB81" s="532">
        <f>'[2]1.1.61.'!$F$20</f>
        <v>8.346261831119715</v>
      </c>
    </row>
    <row r="82" spans="2:28" s="507" customFormat="1" ht="107.25" customHeight="1">
      <c r="B82" s="48" t="s">
        <v>199</v>
      </c>
      <c r="C82" s="534" t="s">
        <v>200</v>
      </c>
      <c r="D82" s="519" t="s">
        <v>544</v>
      </c>
      <c r="E82" s="519" t="s">
        <v>575</v>
      </c>
      <c r="F82" s="210">
        <v>1.26</v>
      </c>
      <c r="G82" s="210"/>
      <c r="H82" s="210"/>
      <c r="I82" s="520"/>
      <c r="J82" s="210">
        <v>2015</v>
      </c>
      <c r="K82" s="210">
        <v>2015</v>
      </c>
      <c r="L82" s="210" t="s">
        <v>379</v>
      </c>
      <c r="M82" s="210" t="s">
        <v>379</v>
      </c>
      <c r="N82" s="210" t="s">
        <v>379</v>
      </c>
      <c r="O82" s="210" t="s">
        <v>379</v>
      </c>
      <c r="P82" s="210">
        <v>0</v>
      </c>
      <c r="Q82" s="210">
        <v>0</v>
      </c>
      <c r="R82" s="521">
        <f>'приложение 1.1'!I82</f>
        <v>2.09</v>
      </c>
      <c r="S82" s="522"/>
      <c r="T82" s="523">
        <f t="shared" si="0"/>
        <v>2.09</v>
      </c>
      <c r="U82" s="210"/>
      <c r="V82" s="207" t="s">
        <v>560</v>
      </c>
      <c r="W82" s="207" t="s">
        <v>561</v>
      </c>
      <c r="X82" s="207" t="s">
        <v>562</v>
      </c>
      <c r="Y82" s="520">
        <f>'[2]1.1.62.'!$F$21/1000000</f>
        <v>1.6984391313829292</v>
      </c>
      <c r="Z82" s="526">
        <f>'[2]1.1.62.'!$L$86</f>
        <v>0.12071653067636734</v>
      </c>
      <c r="AA82" s="522">
        <f>'[2]1.1.62.'!$F$19</f>
        <v>7.799076210810869</v>
      </c>
      <c r="AB82" s="532">
        <f>'[2]1.1.62.'!$F$20</f>
        <v>8.346333801256113</v>
      </c>
    </row>
    <row r="83" spans="2:28" s="507" customFormat="1" ht="102" customHeight="1">
      <c r="B83" s="48" t="s">
        <v>201</v>
      </c>
      <c r="C83" s="534" t="s">
        <v>202</v>
      </c>
      <c r="D83" s="519" t="s">
        <v>544</v>
      </c>
      <c r="E83" s="519" t="s">
        <v>580</v>
      </c>
      <c r="F83" s="210">
        <v>1.26</v>
      </c>
      <c r="G83" s="210"/>
      <c r="H83" s="210"/>
      <c r="I83" s="520"/>
      <c r="J83" s="210">
        <v>2015</v>
      </c>
      <c r="K83" s="210">
        <v>2015</v>
      </c>
      <c r="L83" s="210" t="s">
        <v>379</v>
      </c>
      <c r="M83" s="210" t="s">
        <v>379</v>
      </c>
      <c r="N83" s="210" t="s">
        <v>379</v>
      </c>
      <c r="O83" s="210" t="s">
        <v>379</v>
      </c>
      <c r="P83" s="210">
        <v>0</v>
      </c>
      <c r="Q83" s="210">
        <v>0</v>
      </c>
      <c r="R83" s="521">
        <f>'приложение 1.1'!I83</f>
        <v>2.3084</v>
      </c>
      <c r="S83" s="522"/>
      <c r="T83" s="523">
        <f t="shared" si="0"/>
        <v>2.3084</v>
      </c>
      <c r="U83" s="210"/>
      <c r="V83" s="207" t="s">
        <v>560</v>
      </c>
      <c r="W83" s="207" t="s">
        <v>561</v>
      </c>
      <c r="X83" s="207" t="s">
        <v>562</v>
      </c>
      <c r="Y83" s="520">
        <f>'[2]1.1.63.'!$F$21/1000000</f>
        <v>1.8816125420837835</v>
      </c>
      <c r="Z83" s="526">
        <f>'[2]1.1.63.'!$L$86</f>
        <v>0.12096227566352535</v>
      </c>
      <c r="AA83" s="522">
        <f>'[2]1.1.63.'!$F$19</f>
        <v>7.7918558581133865</v>
      </c>
      <c r="AB83" s="532">
        <f>'[2]1.1.63.'!$F$20</f>
        <v>8.340591126250548</v>
      </c>
    </row>
    <row r="84" spans="2:28" s="507" customFormat="1" ht="103.5" customHeight="1">
      <c r="B84" s="48" t="s">
        <v>203</v>
      </c>
      <c r="C84" s="534" t="s">
        <v>204</v>
      </c>
      <c r="D84" s="519" t="s">
        <v>544</v>
      </c>
      <c r="E84" s="519" t="s">
        <v>580</v>
      </c>
      <c r="F84" s="210">
        <v>2</v>
      </c>
      <c r="G84" s="210"/>
      <c r="H84" s="210"/>
      <c r="I84" s="520"/>
      <c r="J84" s="210">
        <v>2015</v>
      </c>
      <c r="K84" s="210">
        <v>2016</v>
      </c>
      <c r="L84" s="210" t="s">
        <v>379</v>
      </c>
      <c r="M84" s="210" t="s">
        <v>379</v>
      </c>
      <c r="N84" s="210" t="s">
        <v>379</v>
      </c>
      <c r="O84" s="210" t="s">
        <v>379</v>
      </c>
      <c r="P84" s="210">
        <v>0</v>
      </c>
      <c r="Q84" s="210">
        <v>0</v>
      </c>
      <c r="R84" s="521">
        <f>'приложение 1.1'!I84</f>
        <v>1.4766</v>
      </c>
      <c r="S84" s="522"/>
      <c r="T84" s="523">
        <f t="shared" si="0"/>
        <v>1.4766</v>
      </c>
      <c r="U84" s="210"/>
      <c r="V84" s="207" t="s">
        <v>560</v>
      </c>
      <c r="W84" s="207" t="s">
        <v>561</v>
      </c>
      <c r="X84" s="207" t="s">
        <v>562</v>
      </c>
      <c r="Y84" s="520">
        <f>'[2]1.1.64.'!$F$21/1000000</f>
        <v>1.2036017908077934</v>
      </c>
      <c r="Z84" s="526">
        <f>'[2]1.1.64.'!$L$86</f>
        <v>0.12096240971531258</v>
      </c>
      <c r="AA84" s="522">
        <f>'[2]1.1.64.'!$F$19</f>
        <v>7.791853175936085</v>
      </c>
      <c r="AB84" s="532">
        <f>'[2]1.1.64.'!$F$20</f>
        <v>8.34058880392719</v>
      </c>
    </row>
    <row r="85" spans="2:28" s="507" customFormat="1" ht="104.25" customHeight="1">
      <c r="B85" s="48" t="s">
        <v>205</v>
      </c>
      <c r="C85" s="533" t="s">
        <v>206</v>
      </c>
      <c r="D85" s="519" t="s">
        <v>544</v>
      </c>
      <c r="E85" s="519" t="s">
        <v>581</v>
      </c>
      <c r="F85" s="210">
        <v>2</v>
      </c>
      <c r="G85" s="210"/>
      <c r="H85" s="210"/>
      <c r="I85" s="520"/>
      <c r="J85" s="210">
        <v>2015</v>
      </c>
      <c r="K85" s="210">
        <v>2016</v>
      </c>
      <c r="L85" s="210" t="s">
        <v>379</v>
      </c>
      <c r="M85" s="210" t="s">
        <v>379</v>
      </c>
      <c r="N85" s="210" t="s">
        <v>379</v>
      </c>
      <c r="O85" s="210" t="s">
        <v>379</v>
      </c>
      <c r="P85" s="210">
        <v>0</v>
      </c>
      <c r="Q85" s="210">
        <v>0</v>
      </c>
      <c r="R85" s="521">
        <f>'приложение 1.1'!I85</f>
        <v>2.7906</v>
      </c>
      <c r="S85" s="522"/>
      <c r="T85" s="523">
        <f t="shared" si="0"/>
        <v>2.7906</v>
      </c>
      <c r="U85" s="210"/>
      <c r="V85" s="207" t="s">
        <v>565</v>
      </c>
      <c r="W85" s="207" t="s">
        <v>566</v>
      </c>
      <c r="X85" s="207" t="s">
        <v>567</v>
      </c>
      <c r="Y85" s="520">
        <f>'[2]1.1.65.'!$F$21/1000000</f>
        <v>2.393804494062772</v>
      </c>
      <c r="Z85" s="526">
        <f>'[2]1.1.65.'!$L$86</f>
        <v>0.11979861824928317</v>
      </c>
      <c r="AA85" s="522">
        <f>'[2]1.1.65.'!$F$19</f>
        <v>7.8261586663351785</v>
      </c>
      <c r="AB85" s="532">
        <f>'[2]1.1.65.'!$F$20</f>
        <v>8.367835289393744</v>
      </c>
    </row>
    <row r="86" spans="2:28" s="507" customFormat="1" ht="96" customHeight="1">
      <c r="B86" s="48" t="s">
        <v>207</v>
      </c>
      <c r="C86" s="534" t="s">
        <v>208</v>
      </c>
      <c r="D86" s="519" t="s">
        <v>544</v>
      </c>
      <c r="E86" s="519" t="s">
        <v>581</v>
      </c>
      <c r="F86" s="210">
        <v>2</v>
      </c>
      <c r="G86" s="210"/>
      <c r="H86" s="210"/>
      <c r="I86" s="520"/>
      <c r="J86" s="210">
        <v>2015</v>
      </c>
      <c r="K86" s="210">
        <v>2015</v>
      </c>
      <c r="L86" s="210" t="s">
        <v>379</v>
      </c>
      <c r="M86" s="210" t="s">
        <v>379</v>
      </c>
      <c r="N86" s="210" t="s">
        <v>379</v>
      </c>
      <c r="O86" s="210" t="s">
        <v>379</v>
      </c>
      <c r="P86" s="210">
        <v>0</v>
      </c>
      <c r="Q86" s="210">
        <v>0</v>
      </c>
      <c r="R86" s="521">
        <f>'приложение 1.1'!I86</f>
        <v>1.63</v>
      </c>
      <c r="S86" s="522"/>
      <c r="T86" s="523">
        <f t="shared" si="0"/>
        <v>1.63</v>
      </c>
      <c r="U86" s="210"/>
      <c r="V86" s="207" t="s">
        <v>565</v>
      </c>
      <c r="W86" s="207" t="s">
        <v>566</v>
      </c>
      <c r="X86" s="207" t="s">
        <v>567</v>
      </c>
      <c r="Y86" s="520">
        <f>'[2]1.1.66.'!$F$21/1000000</f>
        <v>1.328640304780616</v>
      </c>
      <c r="Z86" s="526">
        <f>'[2]1.1.66.'!$L$86</f>
        <v>0.12096237941680954</v>
      </c>
      <c r="AA86" s="522">
        <f>'[2]1.1.66.'!$F$19</f>
        <v>7.791853782119408</v>
      </c>
      <c r="AB86" s="532">
        <f>'[2]1.1.66.'!$F$20</f>
        <v>8.340589332474957</v>
      </c>
    </row>
    <row r="87" spans="2:28" s="507" customFormat="1" ht="96" customHeight="1">
      <c r="B87" s="48" t="s">
        <v>209</v>
      </c>
      <c r="C87" s="533" t="s">
        <v>210</v>
      </c>
      <c r="D87" s="519" t="s">
        <v>544</v>
      </c>
      <c r="E87" s="519" t="s">
        <v>581</v>
      </c>
      <c r="F87" s="210">
        <v>1.26</v>
      </c>
      <c r="G87" s="210"/>
      <c r="H87" s="210"/>
      <c r="I87" s="520"/>
      <c r="J87" s="210">
        <v>2015</v>
      </c>
      <c r="K87" s="210">
        <v>2015</v>
      </c>
      <c r="L87" s="210" t="s">
        <v>379</v>
      </c>
      <c r="M87" s="210" t="s">
        <v>379</v>
      </c>
      <c r="N87" s="210" t="s">
        <v>379</v>
      </c>
      <c r="O87" s="210" t="s">
        <v>379</v>
      </c>
      <c r="P87" s="210">
        <v>0</v>
      </c>
      <c r="Q87" s="210">
        <v>0</v>
      </c>
      <c r="R87" s="521">
        <f>'приложение 1.1'!I87</f>
        <v>1.06</v>
      </c>
      <c r="S87" s="522"/>
      <c r="T87" s="523">
        <f t="shared" si="0"/>
        <v>1.06</v>
      </c>
      <c r="U87" s="210"/>
      <c r="V87" s="207" t="s">
        <v>565</v>
      </c>
      <c r="W87" s="207" t="s">
        <v>566</v>
      </c>
      <c r="X87" s="207" t="s">
        <v>567</v>
      </c>
      <c r="Y87" s="520">
        <f>'[2]1.1.67.'!$F$21/1000000</f>
        <v>0.8640103548880056</v>
      </c>
      <c r="Z87" s="526">
        <f>'[2]1.1.67.'!$L$86</f>
        <v>0.12096124866080804</v>
      </c>
      <c r="AA87" s="522">
        <f>'[2]1.1.67.'!$F$19</f>
        <v>7.791876407229063</v>
      </c>
      <c r="AB87" s="532">
        <f>'[2]1.1.67.'!$F$20</f>
        <v>8.340608894185431</v>
      </c>
    </row>
    <row r="88" spans="2:28" s="507" customFormat="1" ht="120">
      <c r="B88" s="48" t="s">
        <v>211</v>
      </c>
      <c r="C88" s="262" t="s">
        <v>212</v>
      </c>
      <c r="D88" s="519" t="s">
        <v>544</v>
      </c>
      <c r="E88" s="519" t="s">
        <v>577</v>
      </c>
      <c r="F88" s="210">
        <v>2</v>
      </c>
      <c r="G88" s="210"/>
      <c r="H88" s="210"/>
      <c r="I88" s="520"/>
      <c r="J88" s="210">
        <v>2015</v>
      </c>
      <c r="K88" s="210">
        <v>2016</v>
      </c>
      <c r="L88" s="210" t="s">
        <v>379</v>
      </c>
      <c r="M88" s="210" t="s">
        <v>379</v>
      </c>
      <c r="N88" s="210" t="s">
        <v>379</v>
      </c>
      <c r="O88" s="210" t="s">
        <v>379</v>
      </c>
      <c r="P88" s="210">
        <v>0</v>
      </c>
      <c r="Q88" s="210">
        <v>0</v>
      </c>
      <c r="R88" s="521">
        <f>'приложение 1.1'!I88</f>
        <v>2.1288</v>
      </c>
      <c r="S88" s="522"/>
      <c r="T88" s="523">
        <f t="shared" si="0"/>
        <v>2.1288</v>
      </c>
      <c r="U88" s="210"/>
      <c r="V88" s="274" t="s">
        <v>570</v>
      </c>
      <c r="W88" s="207" t="s">
        <v>555</v>
      </c>
      <c r="X88" s="207" t="s">
        <v>556</v>
      </c>
      <c r="Y88" s="520">
        <f>'[2]1.1.68.'!$F$21/1000000</f>
        <v>1.7338242351392332</v>
      </c>
      <c r="Z88" s="526">
        <f>'[2]1.1.68.'!$L$86</f>
        <v>0.12089697370133923</v>
      </c>
      <c r="AA88" s="522">
        <f>'[2]1.1.68.'!$F$19</f>
        <v>7.793776243629457</v>
      </c>
      <c r="AB88" s="532">
        <f>'[2]1.1.68.'!$F$20</f>
        <v>8.342118479850306</v>
      </c>
    </row>
    <row r="89" spans="2:28" s="507" customFormat="1" ht="90">
      <c r="B89" s="48" t="s">
        <v>213</v>
      </c>
      <c r="C89" s="534" t="s">
        <v>214</v>
      </c>
      <c r="D89" s="519" t="s">
        <v>544</v>
      </c>
      <c r="E89" s="519" t="s">
        <v>577</v>
      </c>
      <c r="F89" s="210">
        <v>2</v>
      </c>
      <c r="G89" s="210"/>
      <c r="H89" s="210"/>
      <c r="I89" s="520"/>
      <c r="J89" s="210">
        <v>2015</v>
      </c>
      <c r="K89" s="210">
        <v>2015</v>
      </c>
      <c r="L89" s="210" t="s">
        <v>379</v>
      </c>
      <c r="M89" s="210" t="s">
        <v>379</v>
      </c>
      <c r="N89" s="210" t="s">
        <v>379</v>
      </c>
      <c r="O89" s="210" t="s">
        <v>379</v>
      </c>
      <c r="P89" s="210">
        <v>0</v>
      </c>
      <c r="Q89" s="210">
        <v>0</v>
      </c>
      <c r="R89" s="521">
        <f>'приложение 1.1'!I89</f>
        <v>1.91</v>
      </c>
      <c r="S89" s="522"/>
      <c r="T89" s="523">
        <f t="shared" si="0"/>
        <v>1.91</v>
      </c>
      <c r="U89" s="210"/>
      <c r="V89" s="207" t="s">
        <v>565</v>
      </c>
      <c r="W89" s="207" t="s">
        <v>566</v>
      </c>
      <c r="X89" s="207" t="s">
        <v>567</v>
      </c>
      <c r="Y89" s="520">
        <f>'[2]1.1.69.'!$F$21/1000000</f>
        <v>1.5544091782202696</v>
      </c>
      <c r="Z89" s="526">
        <f>'[2]1.1.69.'!$L$86</f>
        <v>0.1208338269605378</v>
      </c>
      <c r="AA89" s="522">
        <f>'[2]1.1.69.'!$F$19</f>
        <v>7.795627124283323</v>
      </c>
      <c r="AB89" s="532">
        <f>'[2]1.1.69.'!$F$20</f>
        <v>8.343591296990697</v>
      </c>
    </row>
    <row r="90" spans="2:28" s="507" customFormat="1" ht="90">
      <c r="B90" s="48" t="s">
        <v>215</v>
      </c>
      <c r="C90" s="534" t="s">
        <v>216</v>
      </c>
      <c r="D90" s="519" t="s">
        <v>544</v>
      </c>
      <c r="E90" s="519" t="s">
        <v>577</v>
      </c>
      <c r="F90" s="210">
        <v>1.26</v>
      </c>
      <c r="G90" s="210"/>
      <c r="H90" s="210"/>
      <c r="I90" s="520"/>
      <c r="J90" s="210">
        <v>2015</v>
      </c>
      <c r="K90" s="210">
        <v>2015</v>
      </c>
      <c r="L90" s="210" t="s">
        <v>379</v>
      </c>
      <c r="M90" s="210" t="s">
        <v>379</v>
      </c>
      <c r="N90" s="210" t="s">
        <v>379</v>
      </c>
      <c r="O90" s="210" t="s">
        <v>379</v>
      </c>
      <c r="P90" s="210">
        <v>0</v>
      </c>
      <c r="Q90" s="210">
        <v>0</v>
      </c>
      <c r="R90" s="521">
        <f>'приложение 1.1'!I90</f>
        <v>0.46</v>
      </c>
      <c r="S90" s="522"/>
      <c r="T90" s="523">
        <f t="shared" si="0"/>
        <v>0.46</v>
      </c>
      <c r="U90" s="210"/>
      <c r="V90" s="207" t="s">
        <v>565</v>
      </c>
      <c r="W90" s="207" t="s">
        <v>566</v>
      </c>
      <c r="X90" s="207" t="s">
        <v>567</v>
      </c>
      <c r="Y90" s="520">
        <f>'[2]1.1.70.'!$F$21/1000000</f>
        <v>0.3749477824477611</v>
      </c>
      <c r="Z90" s="526">
        <f>'[2]1.1.70.'!$L$86</f>
        <v>0.12096112530605851</v>
      </c>
      <c r="AA90" s="522">
        <f>'[2]1.1.70.'!$F$19</f>
        <v>7.791878875395867</v>
      </c>
      <c r="AB90" s="532">
        <f>'[2]1.1.70.'!$F$20</f>
        <v>8.340611029929041</v>
      </c>
    </row>
    <row r="91" spans="2:28" s="507" customFormat="1" ht="120">
      <c r="B91" s="48" t="s">
        <v>217</v>
      </c>
      <c r="C91" s="274" t="s">
        <v>218</v>
      </c>
      <c r="D91" s="519" t="s">
        <v>544</v>
      </c>
      <c r="E91" s="519" t="s">
        <v>577</v>
      </c>
      <c r="F91" s="209">
        <v>1.26</v>
      </c>
      <c r="G91" s="210"/>
      <c r="H91" s="210"/>
      <c r="I91" s="520"/>
      <c r="J91" s="210">
        <v>2015</v>
      </c>
      <c r="K91" s="210">
        <v>2015</v>
      </c>
      <c r="L91" s="210" t="s">
        <v>379</v>
      </c>
      <c r="M91" s="210" t="s">
        <v>379</v>
      </c>
      <c r="N91" s="210" t="s">
        <v>379</v>
      </c>
      <c r="O91" s="210" t="s">
        <v>379</v>
      </c>
      <c r="P91" s="210">
        <v>0</v>
      </c>
      <c r="Q91" s="210">
        <v>0</v>
      </c>
      <c r="R91" s="521">
        <f>'приложение 1.1'!I91</f>
        <v>3.3802</v>
      </c>
      <c r="S91" s="522"/>
      <c r="T91" s="523">
        <f t="shared" si="0"/>
        <v>3.3802</v>
      </c>
      <c r="U91" s="210"/>
      <c r="V91" s="207" t="s">
        <v>554</v>
      </c>
      <c r="W91" s="207" t="s">
        <v>555</v>
      </c>
      <c r="X91" s="207" t="s">
        <v>556</v>
      </c>
      <c r="Y91" s="520">
        <f>'[2]1.1.71.'!$F$21/1000000</f>
        <v>1.981381882953957</v>
      </c>
      <c r="Z91" s="526">
        <f>'[2]1.1.71.'!$L$86</f>
        <v>0.1209622409736899</v>
      </c>
      <c r="AA91" s="522">
        <f>'[2]1.1.71.'!$F$19</f>
        <v>7.791856552230411</v>
      </c>
      <c r="AB91" s="532">
        <f>'[2]1.1.71.'!$F$20</f>
        <v>8.340591725189826</v>
      </c>
    </row>
    <row r="92" spans="2:28" s="507" customFormat="1" ht="90">
      <c r="B92" s="48" t="s">
        <v>219</v>
      </c>
      <c r="C92" s="534" t="s">
        <v>220</v>
      </c>
      <c r="D92" s="519" t="s">
        <v>544</v>
      </c>
      <c r="E92" s="519" t="s">
        <v>577</v>
      </c>
      <c r="F92" s="210">
        <v>0.32</v>
      </c>
      <c r="G92" s="210"/>
      <c r="H92" s="210"/>
      <c r="I92" s="520"/>
      <c r="J92" s="210">
        <v>2015</v>
      </c>
      <c r="K92" s="210">
        <v>2016</v>
      </c>
      <c r="L92" s="210" t="s">
        <v>379</v>
      </c>
      <c r="M92" s="210" t="s">
        <v>379</v>
      </c>
      <c r="N92" s="210" t="s">
        <v>379</v>
      </c>
      <c r="O92" s="210" t="s">
        <v>379</v>
      </c>
      <c r="P92" s="210">
        <v>0</v>
      </c>
      <c r="Q92" s="210">
        <v>0</v>
      </c>
      <c r="R92" s="521">
        <f>'приложение 1.1'!I92</f>
        <v>0.6554</v>
      </c>
      <c r="S92" s="522"/>
      <c r="T92" s="523">
        <f t="shared" si="0"/>
        <v>0.6554</v>
      </c>
      <c r="U92" s="210"/>
      <c r="V92" s="207" t="s">
        <v>565</v>
      </c>
      <c r="W92" s="207" t="s">
        <v>566</v>
      </c>
      <c r="X92" s="207" t="s">
        <v>567</v>
      </c>
      <c r="Y92" s="520">
        <f>'[2]1.1.72.'!$F$21/1000000</f>
        <v>0.6923414649481283</v>
      </c>
      <c r="Z92" s="526">
        <f>'[2]1.1.72.'!$L$86</f>
        <v>0.12033331502429134</v>
      </c>
      <c r="AA92" s="522">
        <f>'[2]1.1.72.'!$F$19</f>
        <v>7.810372206074018</v>
      </c>
      <c r="AB92" s="532">
        <f>'[2]1.1.72.'!$F$20</f>
        <v>8.355307656376942</v>
      </c>
    </row>
    <row r="93" spans="2:28" s="507" customFormat="1" ht="101.25" customHeight="1">
      <c r="B93" s="48" t="s">
        <v>221</v>
      </c>
      <c r="C93" s="256" t="s">
        <v>222</v>
      </c>
      <c r="D93" s="519" t="s">
        <v>544</v>
      </c>
      <c r="E93" s="519" t="s">
        <v>582</v>
      </c>
      <c r="F93" s="210">
        <v>1.26</v>
      </c>
      <c r="G93" s="210"/>
      <c r="H93" s="210"/>
      <c r="I93" s="520"/>
      <c r="J93" s="210">
        <v>2015</v>
      </c>
      <c r="K93" s="210">
        <v>2015</v>
      </c>
      <c r="L93" s="210" t="s">
        <v>379</v>
      </c>
      <c r="M93" s="210" t="s">
        <v>379</v>
      </c>
      <c r="N93" s="210" t="s">
        <v>379</v>
      </c>
      <c r="O93" s="210" t="s">
        <v>379</v>
      </c>
      <c r="P93" s="210">
        <v>0</v>
      </c>
      <c r="Q93" s="210">
        <v>0</v>
      </c>
      <c r="R93" s="521">
        <f>'приложение 1.1'!I93</f>
        <v>1.58</v>
      </c>
      <c r="S93" s="522"/>
      <c r="T93" s="523">
        <f t="shared" si="0"/>
        <v>1.58</v>
      </c>
      <c r="U93" s="210"/>
      <c r="V93" s="207" t="s">
        <v>565</v>
      </c>
      <c r="W93" s="207" t="s">
        <v>566</v>
      </c>
      <c r="X93" s="207" t="s">
        <v>567</v>
      </c>
      <c r="Y93" s="520">
        <f>'[2]1.1.73.'!$F$21/1000000</f>
        <v>1.3405004421692128</v>
      </c>
      <c r="Z93" s="526">
        <f>'[2]1.1.73.'!$L$86</f>
        <v>0.12427274361111929</v>
      </c>
      <c r="AA93" s="522">
        <f>'[2]1.1.73.'!$F$19</f>
        <v>7.695784134914342</v>
      </c>
      <c r="AB93" s="532">
        <f>'[2]1.1.73.'!$F$20</f>
        <v>8.263772024404451</v>
      </c>
    </row>
    <row r="94" spans="2:28" s="507" customFormat="1" ht="117" customHeight="1">
      <c r="B94" s="48" t="s">
        <v>223</v>
      </c>
      <c r="C94" s="256" t="s">
        <v>224</v>
      </c>
      <c r="D94" s="519" t="s">
        <v>544</v>
      </c>
      <c r="E94" s="519" t="s">
        <v>583</v>
      </c>
      <c r="F94" s="210">
        <v>1.26</v>
      </c>
      <c r="G94" s="210"/>
      <c r="H94" s="210"/>
      <c r="I94" s="520"/>
      <c r="J94" s="210">
        <v>2015</v>
      </c>
      <c r="K94" s="210">
        <v>2015</v>
      </c>
      <c r="L94" s="210" t="s">
        <v>379</v>
      </c>
      <c r="M94" s="210" t="s">
        <v>379</v>
      </c>
      <c r="N94" s="210" t="s">
        <v>379</v>
      </c>
      <c r="O94" s="210" t="s">
        <v>379</v>
      </c>
      <c r="P94" s="210">
        <v>0</v>
      </c>
      <c r="Q94" s="210">
        <v>0</v>
      </c>
      <c r="R94" s="521">
        <f>'приложение 1.1'!I94</f>
        <v>0.07</v>
      </c>
      <c r="S94" s="522"/>
      <c r="T94" s="523">
        <f t="shared" si="0"/>
        <v>0.07</v>
      </c>
      <c r="U94" s="210"/>
      <c r="V94" s="207" t="s">
        <v>560</v>
      </c>
      <c r="W94" s="207" t="s">
        <v>561</v>
      </c>
      <c r="X94" s="207" t="s">
        <v>562</v>
      </c>
      <c r="Y94" s="520">
        <f>'[2]1.1.74.'!$F$21/1000000</f>
        <v>0.058835797823331086</v>
      </c>
      <c r="Z94" s="526">
        <f>'[2]1.1.74.'!$L$86</f>
        <v>0.12348645045097562</v>
      </c>
      <c r="AA94" s="522">
        <f>'[2]1.1.74.'!$F$19</f>
        <v>7.718578868964128</v>
      </c>
      <c r="AB94" s="532">
        <f>'[2]1.1.74.'!$F$20</f>
        <v>8.282046304975758</v>
      </c>
    </row>
    <row r="95" spans="2:28" s="507" customFormat="1" ht="111" customHeight="1">
      <c r="B95" s="48" t="s">
        <v>225</v>
      </c>
      <c r="C95" s="256" t="s">
        <v>226</v>
      </c>
      <c r="D95" s="519" t="s">
        <v>544</v>
      </c>
      <c r="E95" s="519" t="s">
        <v>583</v>
      </c>
      <c r="F95" s="210">
        <v>1.26</v>
      </c>
      <c r="G95" s="210"/>
      <c r="H95" s="210"/>
      <c r="I95" s="520"/>
      <c r="J95" s="210">
        <v>2015</v>
      </c>
      <c r="K95" s="210">
        <v>2016</v>
      </c>
      <c r="L95" s="210" t="s">
        <v>379</v>
      </c>
      <c r="M95" s="210" t="s">
        <v>379</v>
      </c>
      <c r="N95" s="210" t="s">
        <v>379</v>
      </c>
      <c r="O95" s="210" t="s">
        <v>379</v>
      </c>
      <c r="P95" s="210">
        <v>0</v>
      </c>
      <c r="Q95" s="210">
        <v>0</v>
      </c>
      <c r="R95" s="521">
        <f>'приложение 1.1'!I95</f>
        <v>0.8488</v>
      </c>
      <c r="S95" s="522"/>
      <c r="T95" s="523">
        <f t="shared" si="0"/>
        <v>0.8488</v>
      </c>
      <c r="U95" s="210"/>
      <c r="V95" s="207" t="s">
        <v>560</v>
      </c>
      <c r="W95" s="207" t="s">
        <v>561</v>
      </c>
      <c r="X95" s="207" t="s">
        <v>562</v>
      </c>
      <c r="Y95" s="520">
        <f>'[2]1.1.75.'!$F$21/1000000</f>
        <v>0.7132566102411075</v>
      </c>
      <c r="Z95" s="526">
        <f>'[2]1.1.75.'!$L$86</f>
        <v>0.12346843632117843</v>
      </c>
      <c r="AA95" s="522">
        <f>'[2]1.1.75.'!$F$19</f>
        <v>7.7189342637748695</v>
      </c>
      <c r="AB95" s="532">
        <f>'[2]1.1.75.'!$F$20</f>
        <v>8.282351404279787</v>
      </c>
    </row>
    <row r="96" spans="2:28" s="507" customFormat="1" ht="120">
      <c r="B96" s="48" t="s">
        <v>227</v>
      </c>
      <c r="C96" s="274" t="s">
        <v>228</v>
      </c>
      <c r="D96" s="519" t="s">
        <v>544</v>
      </c>
      <c r="E96" s="519" t="s">
        <v>583</v>
      </c>
      <c r="F96" s="210">
        <v>2</v>
      </c>
      <c r="G96" s="210"/>
      <c r="H96" s="210"/>
      <c r="I96" s="520"/>
      <c r="J96" s="210">
        <v>2015</v>
      </c>
      <c r="K96" s="210">
        <v>2015</v>
      </c>
      <c r="L96" s="210" t="s">
        <v>379</v>
      </c>
      <c r="M96" s="210" t="s">
        <v>379</v>
      </c>
      <c r="N96" s="210" t="s">
        <v>379</v>
      </c>
      <c r="O96" s="210" t="s">
        <v>379</v>
      </c>
      <c r="P96" s="210">
        <v>0</v>
      </c>
      <c r="Q96" s="210">
        <v>0</v>
      </c>
      <c r="R96" s="521">
        <f>'приложение 1.1'!I96</f>
        <v>2.2302</v>
      </c>
      <c r="S96" s="522"/>
      <c r="T96" s="523">
        <f t="shared" si="0"/>
        <v>2.2302</v>
      </c>
      <c r="U96" s="210"/>
      <c r="V96" s="207" t="s">
        <v>554</v>
      </c>
      <c r="W96" s="207" t="s">
        <v>555</v>
      </c>
      <c r="X96" s="207" t="s">
        <v>556</v>
      </c>
      <c r="Y96" s="520">
        <f>'[2]1.1.76.'!$F$21/1000000</f>
        <v>1.8178698877587274</v>
      </c>
      <c r="Z96" s="526">
        <f>'[2]1.1.76.'!$L$86</f>
        <v>0.12096224820557322</v>
      </c>
      <c r="AA96" s="522">
        <f>'[2]1.1.76.'!$F$19</f>
        <v>7.791856407554655</v>
      </c>
      <c r="AB96" s="532">
        <f>'[2]1.1.76.'!$F$20</f>
        <v>8.34059159797518</v>
      </c>
    </row>
    <row r="97" spans="2:28" s="507" customFormat="1" ht="119.25" customHeight="1">
      <c r="B97" s="48" t="s">
        <v>229</v>
      </c>
      <c r="C97" s="533" t="s">
        <v>230</v>
      </c>
      <c r="D97" s="519" t="s">
        <v>544</v>
      </c>
      <c r="E97" s="519" t="s">
        <v>559</v>
      </c>
      <c r="F97" s="210">
        <v>0.8</v>
      </c>
      <c r="G97" s="210"/>
      <c r="H97" s="210"/>
      <c r="I97" s="520"/>
      <c r="J97" s="210">
        <v>2015</v>
      </c>
      <c r="K97" s="210">
        <v>2015</v>
      </c>
      <c r="L97" s="210" t="s">
        <v>379</v>
      </c>
      <c r="M97" s="210" t="s">
        <v>379</v>
      </c>
      <c r="N97" s="210" t="s">
        <v>379</v>
      </c>
      <c r="O97" s="210" t="s">
        <v>379</v>
      </c>
      <c r="P97" s="210">
        <v>0</v>
      </c>
      <c r="Q97" s="210">
        <v>0</v>
      </c>
      <c r="R97" s="521">
        <f>'приложение 1.1'!I97</f>
        <v>0.47</v>
      </c>
      <c r="S97" s="522"/>
      <c r="T97" s="523">
        <f t="shared" si="0"/>
        <v>0.47</v>
      </c>
      <c r="U97" s="210"/>
      <c r="V97" s="207" t="s">
        <v>560</v>
      </c>
      <c r="W97" s="207" t="s">
        <v>561</v>
      </c>
      <c r="X97" s="207" t="s">
        <v>562</v>
      </c>
      <c r="Y97" s="520">
        <f>'[2]1.1.77.'!$F$21/1000000</f>
        <v>0.38309243960791917</v>
      </c>
      <c r="Z97" s="526">
        <f>'[2]1.1.77.'!$L$86</f>
        <v>0.12096000886920444</v>
      </c>
      <c r="AA97" s="522">
        <f>'[2]1.1.77.'!$F$19</f>
        <v>7.791901214052951</v>
      </c>
      <c r="AB97" s="532">
        <f>'[2]1.1.77.'!$F$20</f>
        <v>8.340630343565891</v>
      </c>
    </row>
    <row r="98" spans="2:28" s="507" customFormat="1" ht="120">
      <c r="B98" s="48" t="s">
        <v>231</v>
      </c>
      <c r="C98" s="274" t="s">
        <v>232</v>
      </c>
      <c r="D98" s="519" t="s">
        <v>544</v>
      </c>
      <c r="E98" s="519" t="s">
        <v>584</v>
      </c>
      <c r="F98" s="209">
        <v>1.26</v>
      </c>
      <c r="G98" s="210"/>
      <c r="H98" s="209"/>
      <c r="I98" s="520"/>
      <c r="J98" s="210">
        <v>2015</v>
      </c>
      <c r="K98" s="210">
        <v>2015</v>
      </c>
      <c r="L98" s="210" t="s">
        <v>379</v>
      </c>
      <c r="M98" s="210" t="s">
        <v>379</v>
      </c>
      <c r="N98" s="210" t="s">
        <v>379</v>
      </c>
      <c r="O98" s="210" t="s">
        <v>379</v>
      </c>
      <c r="P98" s="210">
        <v>0</v>
      </c>
      <c r="Q98" s="210">
        <v>0</v>
      </c>
      <c r="R98" s="521">
        <f>'приложение 1.1'!I98</f>
        <v>0.64</v>
      </c>
      <c r="S98" s="522"/>
      <c r="T98" s="523">
        <f t="shared" si="0"/>
        <v>0.64</v>
      </c>
      <c r="U98" s="210"/>
      <c r="V98" s="207" t="s">
        <v>554</v>
      </c>
      <c r="W98" s="207" t="s">
        <v>555</v>
      </c>
      <c r="X98" s="207" t="s">
        <v>556</v>
      </c>
      <c r="Y98" s="520">
        <f>'[2]1.1.78.'!$F$21/1000000</f>
        <v>0.5529422414482923</v>
      </c>
      <c r="Z98" s="526">
        <f>'[2]1.1.78.'!$L$86</f>
        <v>0.12581290252024413</v>
      </c>
      <c r="AA98" s="522">
        <f>'[2]1.1.78.'!$F$19</f>
        <v>7.651826452748425</v>
      </c>
      <c r="AB98" s="532">
        <f>'[2]1.1.78.'!$F$20</f>
        <v>8.228368212182467</v>
      </c>
    </row>
    <row r="99" spans="2:28" s="507" customFormat="1" ht="120">
      <c r="B99" s="48" t="s">
        <v>233</v>
      </c>
      <c r="C99" s="265" t="s">
        <v>234</v>
      </c>
      <c r="D99" s="519" t="s">
        <v>544</v>
      </c>
      <c r="E99" s="210" t="s">
        <v>569</v>
      </c>
      <c r="F99" s="209">
        <v>0.16</v>
      </c>
      <c r="G99" s="210"/>
      <c r="H99" s="209"/>
      <c r="I99" s="520"/>
      <c r="J99" s="210">
        <v>2015</v>
      </c>
      <c r="K99" s="210">
        <v>2015</v>
      </c>
      <c r="L99" s="210" t="s">
        <v>379</v>
      </c>
      <c r="M99" s="210" t="s">
        <v>379</v>
      </c>
      <c r="N99" s="210" t="s">
        <v>379</v>
      </c>
      <c r="O99" s="210" t="s">
        <v>379</v>
      </c>
      <c r="P99" s="210">
        <v>0</v>
      </c>
      <c r="Q99" s="210">
        <v>0</v>
      </c>
      <c r="R99" s="521">
        <f>'приложение 1.1'!I99</f>
        <v>0.5074</v>
      </c>
      <c r="S99" s="522"/>
      <c r="T99" s="523">
        <f t="shared" si="0"/>
        <v>0.5074</v>
      </c>
      <c r="U99" s="210"/>
      <c r="V99" s="274" t="s">
        <v>554</v>
      </c>
      <c r="W99" s="207" t="s">
        <v>555</v>
      </c>
      <c r="X99" s="207" t="s">
        <v>556</v>
      </c>
      <c r="Y99" s="520">
        <f>'[2]1.1.79.'!$F$21/1000000</f>
        <v>0.4206820548897424</v>
      </c>
      <c r="Z99" s="526">
        <f>'[2]1.1.79.'!$L$86</f>
        <v>0.12235395602374188</v>
      </c>
      <c r="AA99" s="522">
        <f>'[2]1.1.79.'!$F$19</f>
        <v>7.751196087489219</v>
      </c>
      <c r="AB99" s="532">
        <f>'[2]1.1.79.'!$F$20</f>
        <v>8.308173003458956</v>
      </c>
    </row>
    <row r="100" spans="2:28" s="507" customFormat="1" ht="116.25" customHeight="1">
      <c r="B100" s="48" t="s">
        <v>235</v>
      </c>
      <c r="C100" s="527" t="s">
        <v>236</v>
      </c>
      <c r="D100" s="519" t="s">
        <v>544</v>
      </c>
      <c r="E100" s="210" t="s">
        <v>569</v>
      </c>
      <c r="F100" s="210">
        <v>0.25</v>
      </c>
      <c r="G100" s="210"/>
      <c r="H100" s="210"/>
      <c r="I100" s="520"/>
      <c r="J100" s="210">
        <v>2015</v>
      </c>
      <c r="K100" s="210">
        <v>2015</v>
      </c>
      <c r="L100" s="210" t="s">
        <v>379</v>
      </c>
      <c r="M100" s="210" t="s">
        <v>379</v>
      </c>
      <c r="N100" s="210" t="s">
        <v>379</v>
      </c>
      <c r="O100" s="210" t="s">
        <v>379</v>
      </c>
      <c r="P100" s="210">
        <v>0</v>
      </c>
      <c r="Q100" s="210">
        <v>0</v>
      </c>
      <c r="R100" s="521">
        <f>'приложение 1.1'!I100</f>
        <v>0.36</v>
      </c>
      <c r="S100" s="522"/>
      <c r="T100" s="523">
        <f t="shared" si="0"/>
        <v>0.36</v>
      </c>
      <c r="U100" s="210"/>
      <c r="V100" s="207" t="s">
        <v>560</v>
      </c>
      <c r="W100" s="207" t="s">
        <v>561</v>
      </c>
      <c r="X100" s="207" t="s">
        <v>562</v>
      </c>
      <c r="Y100" s="520">
        <f>'[2]1.1.80.'!$F$21/1000000</f>
        <v>0.2936915260308558</v>
      </c>
      <c r="Z100" s="526">
        <f>'[2]1.1.80.'!$L$86</f>
        <v>0.12103136423280891</v>
      </c>
      <c r="AA100" s="522">
        <f>'[2]1.1.80.'!$F$19</f>
        <v>7.789831501929493</v>
      </c>
      <c r="AB100" s="532">
        <f>'[2]1.1.80.'!$F$20</f>
        <v>8.33897980671738</v>
      </c>
    </row>
    <row r="101" spans="2:28" s="507" customFormat="1" ht="120">
      <c r="B101" s="48" t="s">
        <v>237</v>
      </c>
      <c r="C101" s="265" t="s">
        <v>238</v>
      </c>
      <c r="D101" s="519" t="s">
        <v>544</v>
      </c>
      <c r="E101" s="210" t="s">
        <v>569</v>
      </c>
      <c r="F101" s="209">
        <v>0.4</v>
      </c>
      <c r="G101" s="210"/>
      <c r="H101" s="209"/>
      <c r="I101" s="520"/>
      <c r="J101" s="210">
        <v>2015</v>
      </c>
      <c r="K101" s="210">
        <v>2015</v>
      </c>
      <c r="L101" s="210" t="s">
        <v>379</v>
      </c>
      <c r="M101" s="210" t="s">
        <v>379</v>
      </c>
      <c r="N101" s="210" t="s">
        <v>379</v>
      </c>
      <c r="O101" s="210" t="s">
        <v>379</v>
      </c>
      <c r="P101" s="210">
        <v>0</v>
      </c>
      <c r="Q101" s="210">
        <v>0</v>
      </c>
      <c r="R101" s="521">
        <f>'приложение 1.1'!I101</f>
        <v>0.6372</v>
      </c>
      <c r="S101" s="522"/>
      <c r="T101" s="523">
        <f t="shared" si="0"/>
        <v>0.6372</v>
      </c>
      <c r="U101" s="210"/>
      <c r="V101" s="274" t="s">
        <v>554</v>
      </c>
      <c r="W101" s="207" t="s">
        <v>555</v>
      </c>
      <c r="X101" s="207" t="s">
        <v>556</v>
      </c>
      <c r="Y101" s="520">
        <f>'[2]1.1.81.'!$F$21/1000000</f>
        <v>0.5223832577717926</v>
      </c>
      <c r="Z101" s="526">
        <f>'[2]1.1.81.'!$L$86</f>
        <v>0.12143006832045122</v>
      </c>
      <c r="AA101" s="522">
        <f>'[2]1.1.81.'!$F$19</f>
        <v>7.778144110712512</v>
      </c>
      <c r="AB101" s="532">
        <f>'[2]1.1.81.'!$F$20</f>
        <v>8.32967400121111</v>
      </c>
    </row>
    <row r="102" spans="2:28" s="507" customFormat="1" ht="90">
      <c r="B102" s="48" t="s">
        <v>239</v>
      </c>
      <c r="C102" s="534" t="s">
        <v>240</v>
      </c>
      <c r="D102" s="519" t="s">
        <v>544</v>
      </c>
      <c r="E102" s="210" t="s">
        <v>569</v>
      </c>
      <c r="F102" s="210">
        <v>0.25</v>
      </c>
      <c r="G102" s="210"/>
      <c r="H102" s="210"/>
      <c r="I102" s="520"/>
      <c r="J102" s="210">
        <v>2015</v>
      </c>
      <c r="K102" s="210">
        <v>2015</v>
      </c>
      <c r="L102" s="210" t="s">
        <v>379</v>
      </c>
      <c r="M102" s="210" t="s">
        <v>379</v>
      </c>
      <c r="N102" s="210" t="s">
        <v>379</v>
      </c>
      <c r="O102" s="210" t="s">
        <v>379</v>
      </c>
      <c r="P102" s="210">
        <v>0</v>
      </c>
      <c r="Q102" s="210">
        <v>0</v>
      </c>
      <c r="R102" s="521">
        <f>'приложение 1.1'!I102</f>
        <v>0.44</v>
      </c>
      <c r="S102" s="522"/>
      <c r="T102" s="523">
        <f t="shared" si="0"/>
        <v>0.44</v>
      </c>
      <c r="U102" s="210"/>
      <c r="V102" s="207" t="s">
        <v>565</v>
      </c>
      <c r="W102" s="207" t="s">
        <v>566</v>
      </c>
      <c r="X102" s="207" t="s">
        <v>567</v>
      </c>
      <c r="Y102" s="520">
        <f>'[2]1.1.82.'!$F$21/1000000</f>
        <v>0.3586611659931245</v>
      </c>
      <c r="Z102" s="526">
        <f>'[2]1.1.82.'!$L$86</f>
        <v>0.12096445821955415</v>
      </c>
      <c r="AA102" s="522">
        <f>'[2]1.1.82.'!$F$19</f>
        <v>7.7918121877784134</v>
      </c>
      <c r="AB102" s="532">
        <f>'[2]1.1.82.'!$F$20</f>
        <v>8.340553373545989</v>
      </c>
    </row>
    <row r="103" spans="2:28" s="507" customFormat="1" ht="90">
      <c r="B103" s="74" t="s">
        <v>241</v>
      </c>
      <c r="C103" s="534" t="s">
        <v>242</v>
      </c>
      <c r="D103" s="519" t="s">
        <v>544</v>
      </c>
      <c r="E103" s="519" t="s">
        <v>559</v>
      </c>
      <c r="F103" s="210">
        <v>2.26</v>
      </c>
      <c r="G103" s="210"/>
      <c r="H103" s="210"/>
      <c r="I103" s="520"/>
      <c r="J103" s="210">
        <v>2015</v>
      </c>
      <c r="K103" s="210">
        <v>2015</v>
      </c>
      <c r="L103" s="210" t="s">
        <v>379</v>
      </c>
      <c r="M103" s="210" t="s">
        <v>379</v>
      </c>
      <c r="N103" s="210" t="s">
        <v>379</v>
      </c>
      <c r="O103" s="210" t="s">
        <v>379</v>
      </c>
      <c r="P103" s="210">
        <v>0</v>
      </c>
      <c r="Q103" s="210">
        <v>0</v>
      </c>
      <c r="R103" s="521">
        <f>'приложение 1.1'!I103</f>
        <v>2.11</v>
      </c>
      <c r="S103" s="522"/>
      <c r="T103" s="523">
        <f t="shared" si="0"/>
        <v>2.11</v>
      </c>
      <c r="U103" s="210"/>
      <c r="V103" s="207" t="s">
        <v>565</v>
      </c>
      <c r="W103" s="207" t="s">
        <v>566</v>
      </c>
      <c r="X103" s="207" t="s">
        <v>567</v>
      </c>
      <c r="Y103" s="520">
        <f>'[2]1.1.83.'!$F$21/1000000</f>
        <v>1.7279482403745399</v>
      </c>
      <c r="Z103" s="526">
        <f>'[2]1.1.83.'!$L$86</f>
        <v>0.12134256389673337</v>
      </c>
      <c r="AA103" s="522">
        <f>'[2]1.1.83.'!$F$19</f>
        <v>7.780712035488952</v>
      </c>
      <c r="AB103" s="532">
        <f>'[2]1.1.83.'!$F$20</f>
        <v>8.33171879436518</v>
      </c>
    </row>
    <row r="104" spans="2:28" s="507" customFormat="1" ht="90">
      <c r="B104" s="74" t="s">
        <v>243</v>
      </c>
      <c r="C104" s="539" t="s">
        <v>244</v>
      </c>
      <c r="D104" s="519" t="s">
        <v>544</v>
      </c>
      <c r="E104" s="519" t="s">
        <v>559</v>
      </c>
      <c r="F104" s="210">
        <v>0.4</v>
      </c>
      <c r="G104" s="210"/>
      <c r="H104" s="210"/>
      <c r="I104" s="520"/>
      <c r="J104" s="210">
        <v>2015</v>
      </c>
      <c r="K104" s="210">
        <v>2015</v>
      </c>
      <c r="L104" s="210" t="s">
        <v>379</v>
      </c>
      <c r="M104" s="210" t="s">
        <v>379</v>
      </c>
      <c r="N104" s="210" t="s">
        <v>379</v>
      </c>
      <c r="O104" s="210" t="s">
        <v>379</v>
      </c>
      <c r="P104" s="210">
        <v>0</v>
      </c>
      <c r="Q104" s="210">
        <v>0</v>
      </c>
      <c r="R104" s="521">
        <f>'приложение 1.1'!I104</f>
        <v>0.12</v>
      </c>
      <c r="S104" s="522"/>
      <c r="T104" s="523">
        <f t="shared" si="0"/>
        <v>0.12</v>
      </c>
      <c r="U104" s="210"/>
      <c r="V104" s="207" t="s">
        <v>560</v>
      </c>
      <c r="W104" s="207" t="s">
        <v>561</v>
      </c>
      <c r="X104" s="207" t="s">
        <v>562</v>
      </c>
      <c r="Y104" s="520">
        <f>'[2]1.1.84.'!$F$21/1000000</f>
        <v>0.0982827059583482</v>
      </c>
      <c r="Z104" s="526">
        <f>'[2]1.1.84.'!$L$86</f>
        <v>0.12135064050815858</v>
      </c>
      <c r="AA104" s="522">
        <f>'[2]1.1.84.'!$F$19</f>
        <v>7.780550779629017</v>
      </c>
      <c r="AB104" s="532">
        <f>'[2]1.1.84.'!$F$20</f>
        <v>8.33157950600698</v>
      </c>
    </row>
    <row r="105" spans="2:28" s="507" customFormat="1" ht="90">
      <c r="B105" s="74" t="s">
        <v>245</v>
      </c>
      <c r="C105" s="260" t="s">
        <v>246</v>
      </c>
      <c r="D105" s="519" t="s">
        <v>544</v>
      </c>
      <c r="E105" s="519" t="s">
        <v>559</v>
      </c>
      <c r="F105" s="210">
        <v>0.8</v>
      </c>
      <c r="G105" s="210"/>
      <c r="H105" s="210"/>
      <c r="I105" s="520"/>
      <c r="J105" s="210">
        <v>2015</v>
      </c>
      <c r="K105" s="210">
        <v>2015</v>
      </c>
      <c r="L105" s="210" t="s">
        <v>379</v>
      </c>
      <c r="M105" s="210" t="s">
        <v>379</v>
      </c>
      <c r="N105" s="210" t="s">
        <v>379</v>
      </c>
      <c r="O105" s="210" t="s">
        <v>379</v>
      </c>
      <c r="P105" s="210">
        <v>0</v>
      </c>
      <c r="Q105" s="210">
        <v>0</v>
      </c>
      <c r="R105" s="521">
        <f>'приложение 1.1'!I105</f>
        <v>0.27</v>
      </c>
      <c r="S105" s="522"/>
      <c r="T105" s="523">
        <f t="shared" si="0"/>
        <v>0.27</v>
      </c>
      <c r="U105" s="210"/>
      <c r="V105" s="207" t="s">
        <v>560</v>
      </c>
      <c r="W105" s="207" t="s">
        <v>561</v>
      </c>
      <c r="X105" s="207" t="s">
        <v>562</v>
      </c>
      <c r="Y105" s="520">
        <f>'[2]1.1.85.'!$F$21/1000000</f>
        <v>0.2227697044460691</v>
      </c>
      <c r="Z105" s="526">
        <f>'[2]1.1.85.'!$L$86</f>
        <v>0.12195383037997254</v>
      </c>
      <c r="AA105" s="522">
        <f>'[2]1.1.85.'!$F$19</f>
        <v>7.762848343009303</v>
      </c>
      <c r="AB105" s="532">
        <f>'[2]1.1.85.'!$F$20</f>
        <v>8.317476932069326</v>
      </c>
    </row>
    <row r="106" spans="2:28" s="507" customFormat="1" ht="90">
      <c r="B106" s="74" t="s">
        <v>247</v>
      </c>
      <c r="C106" s="533" t="s">
        <v>248</v>
      </c>
      <c r="D106" s="519" t="s">
        <v>544</v>
      </c>
      <c r="E106" s="210" t="s">
        <v>559</v>
      </c>
      <c r="F106" s="210">
        <v>0.25</v>
      </c>
      <c r="G106" s="210"/>
      <c r="H106" s="210"/>
      <c r="I106" s="520"/>
      <c r="J106" s="210">
        <v>2015</v>
      </c>
      <c r="K106" s="210">
        <v>2015</v>
      </c>
      <c r="L106" s="210" t="s">
        <v>379</v>
      </c>
      <c r="M106" s="210" t="s">
        <v>379</v>
      </c>
      <c r="N106" s="210" t="s">
        <v>379</v>
      </c>
      <c r="O106" s="210" t="s">
        <v>379</v>
      </c>
      <c r="P106" s="210">
        <v>0</v>
      </c>
      <c r="Q106" s="210">
        <v>0</v>
      </c>
      <c r="R106" s="521">
        <f>'приложение 1.1'!I106</f>
        <v>0.18</v>
      </c>
      <c r="S106" s="522"/>
      <c r="T106" s="523">
        <f t="shared" si="0"/>
        <v>0.18</v>
      </c>
      <c r="U106" s="210"/>
      <c r="V106" s="207" t="s">
        <v>565</v>
      </c>
      <c r="W106" s="207" t="s">
        <v>566</v>
      </c>
      <c r="X106" s="207" t="s">
        <v>567</v>
      </c>
      <c r="Y106" s="520">
        <f>'[2]1.1.86.'!$F$21/1000000</f>
        <v>0.1485139600233148</v>
      </c>
      <c r="Z106" s="526">
        <f>'[2]1.1.86.'!$L$86</f>
        <v>0.12195454100092085</v>
      </c>
      <c r="AA106" s="522">
        <f>'[2]1.1.86.'!$F$19</f>
        <v>7.762834200717591</v>
      </c>
      <c r="AB106" s="532">
        <f>'[2]1.1.86.'!$F$20</f>
        <v>8.317464761479973</v>
      </c>
    </row>
    <row r="107" spans="2:28" s="507" customFormat="1" ht="120">
      <c r="B107" s="74" t="s">
        <v>249</v>
      </c>
      <c r="C107" s="256" t="s">
        <v>250</v>
      </c>
      <c r="D107" s="519" t="s">
        <v>544</v>
      </c>
      <c r="E107" s="210" t="s">
        <v>585</v>
      </c>
      <c r="F107" s="210">
        <v>1.26</v>
      </c>
      <c r="G107" s="210"/>
      <c r="H107" s="210"/>
      <c r="I107" s="520"/>
      <c r="J107" s="210">
        <v>2015</v>
      </c>
      <c r="K107" s="210">
        <v>2015</v>
      </c>
      <c r="L107" s="210" t="s">
        <v>379</v>
      </c>
      <c r="M107" s="210" t="s">
        <v>379</v>
      </c>
      <c r="N107" s="210" t="s">
        <v>379</v>
      </c>
      <c r="O107" s="210" t="s">
        <v>379</v>
      </c>
      <c r="P107" s="210">
        <v>0</v>
      </c>
      <c r="Q107" s="210">
        <v>0</v>
      </c>
      <c r="R107" s="521">
        <f>'приложение 1.1'!I107</f>
        <v>0.28</v>
      </c>
      <c r="S107" s="522"/>
      <c r="T107" s="523">
        <f t="shared" si="0"/>
        <v>0.28</v>
      </c>
      <c r="U107" s="210"/>
      <c r="V107" s="207" t="s">
        <v>554</v>
      </c>
      <c r="W107" s="207" t="s">
        <v>555</v>
      </c>
      <c r="X107" s="207" t="s">
        <v>556</v>
      </c>
      <c r="Y107" s="520">
        <f>'[2]1.1.87.'!$F$21/1000000</f>
        <v>0.23101383812415127</v>
      </c>
      <c r="Z107" s="526">
        <f>'[2]1.1.87.'!$L$86</f>
        <v>0.12195188245159838</v>
      </c>
      <c r="AA107" s="522">
        <f>'[2]1.1.87.'!$F$19</f>
        <v>7.762887100983373</v>
      </c>
      <c r="AB107" s="532">
        <f>'[2]1.1.87.'!$F$20</f>
        <v>8.317510357845459</v>
      </c>
    </row>
    <row r="108" spans="2:28" s="507" customFormat="1" ht="102" customHeight="1">
      <c r="B108" s="74" t="s">
        <v>251</v>
      </c>
      <c r="C108" s="533" t="s">
        <v>252</v>
      </c>
      <c r="D108" s="519" t="s">
        <v>544</v>
      </c>
      <c r="E108" s="519" t="s">
        <v>559</v>
      </c>
      <c r="F108" s="210">
        <v>0.25</v>
      </c>
      <c r="G108" s="210"/>
      <c r="H108" s="210"/>
      <c r="I108" s="520"/>
      <c r="J108" s="210">
        <v>2015</v>
      </c>
      <c r="K108" s="210">
        <v>2015</v>
      </c>
      <c r="L108" s="210" t="s">
        <v>379</v>
      </c>
      <c r="M108" s="210" t="s">
        <v>379</v>
      </c>
      <c r="N108" s="210" t="s">
        <v>379</v>
      </c>
      <c r="O108" s="210" t="s">
        <v>379</v>
      </c>
      <c r="P108" s="210">
        <v>0</v>
      </c>
      <c r="Q108" s="210">
        <v>0</v>
      </c>
      <c r="R108" s="521">
        <f>'приложение 1.1'!I108</f>
        <v>0.14</v>
      </c>
      <c r="S108" s="522"/>
      <c r="T108" s="523">
        <f t="shared" si="0"/>
        <v>0.14</v>
      </c>
      <c r="U108" s="210"/>
      <c r="V108" s="207" t="s">
        <v>560</v>
      </c>
      <c r="W108" s="207" t="s">
        <v>561</v>
      </c>
      <c r="X108" s="207" t="s">
        <v>562</v>
      </c>
      <c r="Y108" s="520">
        <f>'[2]1.1.88.'!$F$21/1000000</f>
        <v>0.11763851821994557</v>
      </c>
      <c r="Z108" s="526">
        <f>'[2]1.1.88.'!$L$86</f>
        <v>0.12346523301630485</v>
      </c>
      <c r="AA108" s="522">
        <f>'[2]1.1.88.'!$F$19</f>
        <v>7.71899747459995</v>
      </c>
      <c r="AB108" s="532">
        <f>'[2]1.1.88.'!$F$20</f>
        <v>8.282405615212074</v>
      </c>
    </row>
    <row r="109" spans="2:28" s="507" customFormat="1" ht="108" customHeight="1">
      <c r="B109" s="74" t="s">
        <v>253</v>
      </c>
      <c r="C109" s="533" t="s">
        <v>254</v>
      </c>
      <c r="D109" s="519" t="s">
        <v>544</v>
      </c>
      <c r="E109" s="519" t="s">
        <v>559</v>
      </c>
      <c r="F109" s="210">
        <v>0.4</v>
      </c>
      <c r="G109" s="210"/>
      <c r="H109" s="210"/>
      <c r="I109" s="520"/>
      <c r="J109" s="210">
        <v>2015</v>
      </c>
      <c r="K109" s="210">
        <v>2015</v>
      </c>
      <c r="L109" s="210" t="s">
        <v>379</v>
      </c>
      <c r="M109" s="210" t="s">
        <v>379</v>
      </c>
      <c r="N109" s="210" t="s">
        <v>379</v>
      </c>
      <c r="O109" s="210" t="s">
        <v>379</v>
      </c>
      <c r="P109" s="210">
        <v>0</v>
      </c>
      <c r="Q109" s="210">
        <v>0</v>
      </c>
      <c r="R109" s="521">
        <f>'приложение 1.1'!I109</f>
        <v>0.12</v>
      </c>
      <c r="S109" s="522"/>
      <c r="T109" s="523">
        <f t="shared" si="0"/>
        <v>0.12</v>
      </c>
      <c r="U109" s="210"/>
      <c r="V109" s="207" t="s">
        <v>560</v>
      </c>
      <c r="W109" s="207" t="s">
        <v>561</v>
      </c>
      <c r="X109" s="207" t="s">
        <v>562</v>
      </c>
      <c r="Y109" s="520">
        <f>'[2]1.1.89.'!$F$21/1000000</f>
        <v>0.09752970374238276</v>
      </c>
      <c r="Z109" s="526">
        <f>'[2]1.1.89.'!$L$86</f>
        <v>0.12072521362974897</v>
      </c>
      <c r="AA109" s="522">
        <f>'[2]1.1.89.'!$F$19</f>
        <v>7.798902236090413</v>
      </c>
      <c r="AB109" s="532">
        <f>'[2]1.1.89.'!$F$20</f>
        <v>8.34618329576352</v>
      </c>
    </row>
    <row r="110" spans="2:28" s="507" customFormat="1" ht="105" customHeight="1">
      <c r="B110" s="74" t="s">
        <v>255</v>
      </c>
      <c r="C110" s="533" t="s">
        <v>256</v>
      </c>
      <c r="D110" s="519" t="s">
        <v>544</v>
      </c>
      <c r="E110" s="519" t="s">
        <v>559</v>
      </c>
      <c r="F110" s="210">
        <v>0.16</v>
      </c>
      <c r="G110" s="210"/>
      <c r="H110" s="210"/>
      <c r="I110" s="520"/>
      <c r="J110" s="210">
        <v>2015</v>
      </c>
      <c r="K110" s="210">
        <v>2015</v>
      </c>
      <c r="L110" s="210" t="s">
        <v>379</v>
      </c>
      <c r="M110" s="210" t="s">
        <v>379</v>
      </c>
      <c r="N110" s="210" t="s">
        <v>379</v>
      </c>
      <c r="O110" s="210" t="s">
        <v>379</v>
      </c>
      <c r="P110" s="210">
        <v>0</v>
      </c>
      <c r="Q110" s="210">
        <v>0</v>
      </c>
      <c r="R110" s="521">
        <f>'приложение 1.1'!I110</f>
        <v>0.12</v>
      </c>
      <c r="S110" s="522"/>
      <c r="T110" s="523">
        <f t="shared" si="0"/>
        <v>0.12</v>
      </c>
      <c r="U110" s="210"/>
      <c r="V110" s="207" t="s">
        <v>560</v>
      </c>
      <c r="W110" s="207" t="s">
        <v>561</v>
      </c>
      <c r="X110" s="207" t="s">
        <v>562</v>
      </c>
      <c r="Y110" s="520">
        <f>'[2]1.1.90.'!$F$21/1000000</f>
        <v>0.10084683234605657</v>
      </c>
      <c r="Z110" s="526">
        <f>'[2]1.1.90.'!$L$86</f>
        <v>0.12347536811243542</v>
      </c>
      <c r="AA110" s="522">
        <f>'[2]1.1.90.'!$F$19</f>
        <v>7.71879749049984</v>
      </c>
      <c r="AB110" s="532">
        <f>'[2]1.1.90.'!$F$20</f>
        <v>8.282234059960134</v>
      </c>
    </row>
    <row r="111" spans="2:28" s="507" customFormat="1" ht="90">
      <c r="B111" s="74" t="s">
        <v>257</v>
      </c>
      <c r="C111" s="527" t="s">
        <v>258</v>
      </c>
      <c r="D111" s="210" t="s">
        <v>544</v>
      </c>
      <c r="E111" s="210" t="s">
        <v>585</v>
      </c>
      <c r="F111" s="210">
        <v>0.25</v>
      </c>
      <c r="G111" s="210"/>
      <c r="H111" s="210"/>
      <c r="I111" s="520"/>
      <c r="J111" s="210">
        <v>2015</v>
      </c>
      <c r="K111" s="210">
        <v>2015</v>
      </c>
      <c r="L111" s="210" t="s">
        <v>379</v>
      </c>
      <c r="M111" s="210" t="s">
        <v>379</v>
      </c>
      <c r="N111" s="210" t="s">
        <v>379</v>
      </c>
      <c r="O111" s="210" t="s">
        <v>379</v>
      </c>
      <c r="P111" s="210">
        <v>0</v>
      </c>
      <c r="Q111" s="210">
        <v>0</v>
      </c>
      <c r="R111" s="521">
        <f>'приложение 1.1'!I111</f>
        <v>1.3639999999999999</v>
      </c>
      <c r="S111" s="522"/>
      <c r="T111" s="523">
        <f t="shared" si="0"/>
        <v>1.3639999999999999</v>
      </c>
      <c r="U111" s="210"/>
      <c r="V111" s="207" t="s">
        <v>560</v>
      </c>
      <c r="W111" s="207" t="s">
        <v>561</v>
      </c>
      <c r="X111" s="207" t="s">
        <v>562</v>
      </c>
      <c r="Y111" s="520">
        <f>'[2]1.1.91.'!$F$21/1000000</f>
        <v>1.109233125516179</v>
      </c>
      <c r="Z111" s="526">
        <f>'[2]1.1.91.'!$L$86</f>
        <v>0.12077345784896343</v>
      </c>
      <c r="AA111" s="522">
        <f>'[2]1.1.91.'!$F$19</f>
        <v>7.797397709672831</v>
      </c>
      <c r="AB111" s="532">
        <f>'[2]1.1.91.'!$F$20</f>
        <v>8.344999909861517</v>
      </c>
    </row>
    <row r="112" spans="2:28" s="507" customFormat="1" ht="101.25" customHeight="1">
      <c r="B112" s="74" t="s">
        <v>259</v>
      </c>
      <c r="C112" s="256" t="s">
        <v>260</v>
      </c>
      <c r="D112" s="519" t="s">
        <v>544</v>
      </c>
      <c r="E112" s="519" t="s">
        <v>559</v>
      </c>
      <c r="F112" s="210">
        <v>0.4</v>
      </c>
      <c r="G112" s="210"/>
      <c r="H112" s="210"/>
      <c r="I112" s="520"/>
      <c r="J112" s="210">
        <v>2015</v>
      </c>
      <c r="K112" s="210">
        <v>2015</v>
      </c>
      <c r="L112" s="210" t="s">
        <v>379</v>
      </c>
      <c r="M112" s="210" t="s">
        <v>379</v>
      </c>
      <c r="N112" s="210" t="s">
        <v>379</v>
      </c>
      <c r="O112" s="210" t="s">
        <v>379</v>
      </c>
      <c r="P112" s="210">
        <v>0</v>
      </c>
      <c r="Q112" s="210">
        <v>0</v>
      </c>
      <c r="R112" s="521">
        <f>'приложение 1.1'!I112</f>
        <v>0.52</v>
      </c>
      <c r="S112" s="522"/>
      <c r="T112" s="523">
        <f t="shared" si="0"/>
        <v>0.52</v>
      </c>
      <c r="U112" s="210"/>
      <c r="V112" s="207" t="s">
        <v>560</v>
      </c>
      <c r="W112" s="207" t="s">
        <v>561</v>
      </c>
      <c r="X112" s="207" t="s">
        <v>562</v>
      </c>
      <c r="Y112" s="520">
        <f>'[2]1.1.92.'!$F$21/1000000</f>
        <v>0.44286383959729203</v>
      </c>
      <c r="Z112" s="526">
        <f>'[2]1.1.92.'!$L$86</f>
        <v>0.1245944849138576</v>
      </c>
      <c r="AA112" s="522">
        <f>'[2]1.1.92.'!$F$19</f>
        <v>7.68653707139515</v>
      </c>
      <c r="AB112" s="532">
        <f>'[2]1.1.92.'!$F$20</f>
        <v>8.25634068101832</v>
      </c>
    </row>
    <row r="113" spans="2:28" s="507" customFormat="1" ht="103.5" customHeight="1">
      <c r="B113" s="74" t="s">
        <v>261</v>
      </c>
      <c r="C113" s="256" t="s">
        <v>262</v>
      </c>
      <c r="D113" s="519" t="s">
        <v>544</v>
      </c>
      <c r="E113" s="519" t="s">
        <v>559</v>
      </c>
      <c r="F113" s="210">
        <v>0.4</v>
      </c>
      <c r="G113" s="210"/>
      <c r="H113" s="210"/>
      <c r="I113" s="520"/>
      <c r="J113" s="210">
        <v>2015</v>
      </c>
      <c r="K113" s="210">
        <v>2015</v>
      </c>
      <c r="L113" s="210" t="s">
        <v>379</v>
      </c>
      <c r="M113" s="210" t="s">
        <v>379</v>
      </c>
      <c r="N113" s="210" t="s">
        <v>379</v>
      </c>
      <c r="O113" s="210" t="s">
        <v>379</v>
      </c>
      <c r="P113" s="210">
        <v>0</v>
      </c>
      <c r="Q113" s="210">
        <v>0</v>
      </c>
      <c r="R113" s="521">
        <f>'приложение 1.1'!I113</f>
        <v>0.22</v>
      </c>
      <c r="S113" s="522"/>
      <c r="T113" s="523">
        <f t="shared" si="0"/>
        <v>0.22</v>
      </c>
      <c r="U113" s="210"/>
      <c r="V113" s="207" t="s">
        <v>560</v>
      </c>
      <c r="W113" s="207" t="s">
        <v>561</v>
      </c>
      <c r="X113" s="207" t="s">
        <v>562</v>
      </c>
      <c r="Y113" s="520">
        <f>'[2]1.1.93.'!$F$21/1000000</f>
        <v>0.18486930139150753</v>
      </c>
      <c r="Z113" s="526">
        <f>'[2]1.1.93.'!$L$86</f>
        <v>0.12346860559750783</v>
      </c>
      <c r="AA113" s="522">
        <f>'[2]1.1.93.'!$F$19</f>
        <v>7.7189309264875865</v>
      </c>
      <c r="AB113" s="532">
        <f>'[2]1.1.93.'!$F$20</f>
        <v>8.2823485282452</v>
      </c>
    </row>
    <row r="114" spans="2:28" s="507" customFormat="1" ht="105.75" customHeight="1">
      <c r="B114" s="74" t="s">
        <v>263</v>
      </c>
      <c r="C114" s="533" t="s">
        <v>264</v>
      </c>
      <c r="D114" s="519" t="s">
        <v>544</v>
      </c>
      <c r="E114" s="519" t="s">
        <v>559</v>
      </c>
      <c r="F114" s="210">
        <v>0.16</v>
      </c>
      <c r="G114" s="210"/>
      <c r="H114" s="210"/>
      <c r="I114" s="520"/>
      <c r="J114" s="210">
        <v>2015</v>
      </c>
      <c r="K114" s="210">
        <v>2015</v>
      </c>
      <c r="L114" s="210" t="s">
        <v>379</v>
      </c>
      <c r="M114" s="210" t="s">
        <v>379</v>
      </c>
      <c r="N114" s="210" t="s">
        <v>379</v>
      </c>
      <c r="O114" s="210" t="s">
        <v>379</v>
      </c>
      <c r="P114" s="210">
        <v>0</v>
      </c>
      <c r="Q114" s="210">
        <v>0</v>
      </c>
      <c r="R114" s="521">
        <f>'приложение 1.1'!I114</f>
        <v>0.42</v>
      </c>
      <c r="S114" s="522"/>
      <c r="T114" s="523">
        <f t="shared" si="0"/>
        <v>0.42</v>
      </c>
      <c r="U114" s="210"/>
      <c r="V114" s="274" t="s">
        <v>570</v>
      </c>
      <c r="W114" s="207" t="s">
        <v>561</v>
      </c>
      <c r="X114" s="207" t="s">
        <v>562</v>
      </c>
      <c r="Y114" s="520">
        <f>'[2]1.1.94.'!$F$21/1000000</f>
        <v>0.3432523851441596</v>
      </c>
      <c r="Z114" s="526">
        <f>'[2]1.1.94.'!$L$86</f>
        <v>0.1211769801217637</v>
      </c>
      <c r="AA114" s="522">
        <f>'[2]1.1.94.'!$F$19</f>
        <v>7.785541136260308</v>
      </c>
      <c r="AB114" s="532">
        <f>'[2]1.1.94.'!$F$20</f>
        <v>8.335567634872909</v>
      </c>
    </row>
    <row r="115" spans="2:28" s="507" customFormat="1" ht="109.5" customHeight="1">
      <c r="B115" s="74" t="s">
        <v>265</v>
      </c>
      <c r="C115" s="533" t="s">
        <v>266</v>
      </c>
      <c r="D115" s="519" t="s">
        <v>544</v>
      </c>
      <c r="E115" s="519" t="s">
        <v>559</v>
      </c>
      <c r="F115" s="210">
        <v>0.25</v>
      </c>
      <c r="G115" s="210"/>
      <c r="H115" s="210"/>
      <c r="I115" s="520"/>
      <c r="J115" s="210">
        <v>2015</v>
      </c>
      <c r="K115" s="210">
        <v>2015</v>
      </c>
      <c r="L115" s="210" t="s">
        <v>379</v>
      </c>
      <c r="M115" s="210" t="s">
        <v>379</v>
      </c>
      <c r="N115" s="210" t="s">
        <v>379</v>
      </c>
      <c r="O115" s="210" t="s">
        <v>379</v>
      </c>
      <c r="P115" s="210">
        <v>0</v>
      </c>
      <c r="Q115" s="210">
        <v>0</v>
      </c>
      <c r="R115" s="521">
        <f>'приложение 1.1'!I115</f>
        <v>0.4</v>
      </c>
      <c r="S115" s="522"/>
      <c r="T115" s="523">
        <f t="shared" si="0"/>
        <v>0.4</v>
      </c>
      <c r="U115" s="210"/>
      <c r="V115" s="274" t="s">
        <v>570</v>
      </c>
      <c r="W115" s="207" t="s">
        <v>561</v>
      </c>
      <c r="X115" s="207" t="s">
        <v>562</v>
      </c>
      <c r="Y115" s="520">
        <f>'[2]1.1.95.'!$F$21/1000000</f>
        <v>0.3283044303888348</v>
      </c>
      <c r="Z115" s="526">
        <f>'[2]1.1.95.'!$L$86</f>
        <v>0.12152461566260042</v>
      </c>
      <c r="AA115" s="522">
        <f>'[2]1.1.95.'!$F$19</f>
        <v>7.775391855804363</v>
      </c>
      <c r="AB115" s="532">
        <f>'[2]1.1.95.'!$F$20</f>
        <v>8.327478874837702</v>
      </c>
    </row>
    <row r="116" spans="2:28" s="507" customFormat="1" ht="113.25" customHeight="1">
      <c r="B116" s="74" t="s">
        <v>267</v>
      </c>
      <c r="C116" s="533" t="s">
        <v>268</v>
      </c>
      <c r="D116" s="519" t="s">
        <v>544</v>
      </c>
      <c r="E116" s="519" t="s">
        <v>559</v>
      </c>
      <c r="F116" s="210">
        <v>0.8</v>
      </c>
      <c r="G116" s="210"/>
      <c r="H116" s="210"/>
      <c r="I116" s="520"/>
      <c r="J116" s="210">
        <v>2015</v>
      </c>
      <c r="K116" s="210">
        <v>2015</v>
      </c>
      <c r="L116" s="210" t="s">
        <v>379</v>
      </c>
      <c r="M116" s="210" t="s">
        <v>379</v>
      </c>
      <c r="N116" s="210" t="s">
        <v>379</v>
      </c>
      <c r="O116" s="210" t="s">
        <v>379</v>
      </c>
      <c r="P116" s="210">
        <v>0</v>
      </c>
      <c r="Q116" s="210">
        <v>0</v>
      </c>
      <c r="R116" s="521">
        <f>'приложение 1.1'!I116</f>
        <v>0.54</v>
      </c>
      <c r="S116" s="522"/>
      <c r="T116" s="523">
        <f t="shared" si="0"/>
        <v>0.54</v>
      </c>
      <c r="U116" s="210"/>
      <c r="V116" s="274" t="s">
        <v>570</v>
      </c>
      <c r="W116" s="207" t="s">
        <v>561</v>
      </c>
      <c r="X116" s="207" t="s">
        <v>562</v>
      </c>
      <c r="Y116" s="520">
        <f>'[2]1.1.96.'!$F$21/1000000</f>
        <v>0.44222303258504836</v>
      </c>
      <c r="Z116" s="526">
        <f>'[2]1.1.96.'!$L$86</f>
        <v>0.12134247889541316</v>
      </c>
      <c r="AA116" s="522">
        <f>'[2]1.1.96.'!$F$19</f>
        <v>7.780713732364032</v>
      </c>
      <c r="AB116" s="532">
        <f>'[2]1.1.96.'!$F$20</f>
        <v>8.331720264454233</v>
      </c>
    </row>
    <row r="117" spans="2:28" s="507" customFormat="1" ht="111" customHeight="1">
      <c r="B117" s="74" t="s">
        <v>269</v>
      </c>
      <c r="C117" s="540" t="s">
        <v>270</v>
      </c>
      <c r="D117" s="519" t="s">
        <v>544</v>
      </c>
      <c r="E117" s="519" t="s">
        <v>559</v>
      </c>
      <c r="F117" s="210">
        <v>2</v>
      </c>
      <c r="G117" s="210"/>
      <c r="H117" s="210"/>
      <c r="I117" s="520"/>
      <c r="J117" s="210">
        <v>2015</v>
      </c>
      <c r="K117" s="210">
        <v>2015</v>
      </c>
      <c r="L117" s="210" t="s">
        <v>379</v>
      </c>
      <c r="M117" s="210" t="s">
        <v>379</v>
      </c>
      <c r="N117" s="210" t="s">
        <v>379</v>
      </c>
      <c r="O117" s="210" t="s">
        <v>379</v>
      </c>
      <c r="P117" s="210">
        <v>0</v>
      </c>
      <c r="Q117" s="210">
        <v>0</v>
      </c>
      <c r="R117" s="521">
        <f>'приложение 1.1'!I117</f>
        <v>0.35</v>
      </c>
      <c r="S117" s="522"/>
      <c r="T117" s="523">
        <f t="shared" si="0"/>
        <v>0.35</v>
      </c>
      <c r="U117" s="210"/>
      <c r="V117" s="274" t="s">
        <v>570</v>
      </c>
      <c r="W117" s="207" t="s">
        <v>561</v>
      </c>
      <c r="X117" s="207" t="s">
        <v>562</v>
      </c>
      <c r="Y117" s="520">
        <f>'[2]1.1.97.'!$F$21/1000000</f>
        <v>0.28554138473951257</v>
      </c>
      <c r="Z117" s="526">
        <f>'[2]1.1.97.'!$L$86</f>
        <v>0.12103353018440366</v>
      </c>
      <c r="AA117" s="522">
        <f>'[2]1.1.97.'!$F$19</f>
        <v>7.789788180841469</v>
      </c>
      <c r="AB117" s="532">
        <f>'[2]1.1.97.'!$F$20</f>
        <v>8.338942351552351</v>
      </c>
    </row>
    <row r="118" spans="2:28" s="507" customFormat="1" ht="127.5" customHeight="1">
      <c r="B118" s="74" t="s">
        <v>271</v>
      </c>
      <c r="C118" s="206" t="s">
        <v>272</v>
      </c>
      <c r="D118" s="210" t="s">
        <v>544</v>
      </c>
      <c r="E118" s="210" t="s">
        <v>545</v>
      </c>
      <c r="F118" s="210">
        <v>5</v>
      </c>
      <c r="G118" s="210"/>
      <c r="H118" s="210"/>
      <c r="I118" s="520"/>
      <c r="J118" s="210">
        <v>2015</v>
      </c>
      <c r="K118" s="210">
        <v>2016</v>
      </c>
      <c r="L118" s="210" t="s">
        <v>379</v>
      </c>
      <c r="M118" s="210" t="s">
        <v>379</v>
      </c>
      <c r="N118" s="210" t="s">
        <v>379</v>
      </c>
      <c r="O118" s="210" t="s">
        <v>379</v>
      </c>
      <c r="P118" s="210">
        <v>0</v>
      </c>
      <c r="Q118" s="210">
        <v>0</v>
      </c>
      <c r="R118" s="521">
        <f>'приложение 1.1'!I118</f>
        <v>17.1558</v>
      </c>
      <c r="S118" s="522"/>
      <c r="T118" s="523">
        <f t="shared" si="0"/>
        <v>17.1558</v>
      </c>
      <c r="U118" s="210"/>
      <c r="V118" s="274" t="s">
        <v>570</v>
      </c>
      <c r="W118" s="207" t="s">
        <v>555</v>
      </c>
      <c r="X118" s="207" t="s">
        <v>556</v>
      </c>
      <c r="Y118" s="520">
        <f>'[2]1.1.98.'!$F$21/1000000</f>
        <v>13.2659187204845</v>
      </c>
      <c r="Z118" s="526">
        <f>'[2]1.1.97.'!$L$86</f>
        <v>0.12103353018440366</v>
      </c>
      <c r="AA118" s="522">
        <f>'[2]1.1.97.'!$F$19</f>
        <v>7.789788180841469</v>
      </c>
      <c r="AB118" s="532">
        <f>'[2]1.1.97.'!$F$20</f>
        <v>8.338942351552351</v>
      </c>
    </row>
    <row r="119" spans="2:28" s="507" customFormat="1" ht="125.25" customHeight="1">
      <c r="B119" s="74" t="s">
        <v>273</v>
      </c>
      <c r="C119" s="206" t="s">
        <v>274</v>
      </c>
      <c r="D119" s="519" t="s">
        <v>544</v>
      </c>
      <c r="E119" s="519" t="s">
        <v>559</v>
      </c>
      <c r="F119" s="210">
        <v>12.6</v>
      </c>
      <c r="G119" s="210"/>
      <c r="H119" s="210"/>
      <c r="I119" s="520"/>
      <c r="J119" s="210">
        <v>2015</v>
      </c>
      <c r="K119" s="210">
        <v>2016</v>
      </c>
      <c r="L119" s="210" t="s">
        <v>379</v>
      </c>
      <c r="M119" s="210" t="s">
        <v>379</v>
      </c>
      <c r="N119" s="210" t="s">
        <v>379</v>
      </c>
      <c r="O119" s="210" t="s">
        <v>379</v>
      </c>
      <c r="P119" s="210">
        <v>0</v>
      </c>
      <c r="Q119" s="210">
        <v>0</v>
      </c>
      <c r="R119" s="521">
        <f>'приложение 1.1'!I119</f>
        <v>9.254000000000001</v>
      </c>
      <c r="S119" s="522"/>
      <c r="T119" s="523">
        <f t="shared" si="0"/>
        <v>9.254000000000001</v>
      </c>
      <c r="U119" s="210"/>
      <c r="V119" s="274" t="s">
        <v>570</v>
      </c>
      <c r="W119" s="207" t="s">
        <v>555</v>
      </c>
      <c r="X119" s="207" t="s">
        <v>556</v>
      </c>
      <c r="Y119" s="520">
        <f>'[2]1.1.99.'!$F$21/1000000</f>
        <v>7.549451909938972</v>
      </c>
      <c r="Z119" s="526">
        <f>'[2]1.1.99.'!$L$86</f>
        <v>0.12103092043551911</v>
      </c>
      <c r="AA119" s="522">
        <f>'[2]1.1.99.'!$F$19</f>
        <v>7.789840378386372</v>
      </c>
      <c r="AB119" s="532">
        <f>'[2]1.1.99.'!$F$20</f>
        <v>8.338987478100584</v>
      </c>
    </row>
    <row r="120" spans="2:28" s="507" customFormat="1" ht="120">
      <c r="B120" s="74" t="s">
        <v>275</v>
      </c>
      <c r="C120" s="206" t="s">
        <v>276</v>
      </c>
      <c r="D120" s="519" t="s">
        <v>544</v>
      </c>
      <c r="E120" s="519" t="s">
        <v>559</v>
      </c>
      <c r="F120" s="210">
        <v>12.6</v>
      </c>
      <c r="G120" s="210"/>
      <c r="H120" s="210"/>
      <c r="I120" s="520"/>
      <c r="J120" s="210">
        <v>2015</v>
      </c>
      <c r="K120" s="210">
        <v>2016</v>
      </c>
      <c r="L120" s="210" t="s">
        <v>379</v>
      </c>
      <c r="M120" s="210" t="s">
        <v>379</v>
      </c>
      <c r="N120" s="210" t="s">
        <v>379</v>
      </c>
      <c r="O120" s="210" t="s">
        <v>379</v>
      </c>
      <c r="P120" s="210">
        <v>0</v>
      </c>
      <c r="Q120" s="210">
        <v>0</v>
      </c>
      <c r="R120" s="521">
        <f>'приложение 1.1'!I120</f>
        <v>6.569599999999999</v>
      </c>
      <c r="S120" s="522"/>
      <c r="T120" s="523">
        <f t="shared" si="0"/>
        <v>6.569599999999999</v>
      </c>
      <c r="U120" s="210"/>
      <c r="V120" s="274" t="s">
        <v>570</v>
      </c>
      <c r="W120" s="207" t="s">
        <v>555</v>
      </c>
      <c r="X120" s="207" t="s">
        <v>556</v>
      </c>
      <c r="Y120" s="520">
        <f>'[2]1.1.100.'!$F$21/1000000</f>
        <v>5.398459192412043</v>
      </c>
      <c r="Z120" s="526">
        <f>'[2]1.1.100.'!$L$86</f>
        <v>0.12162155431551125</v>
      </c>
      <c r="AA120" s="522">
        <f>'[2]1.1.100.'!$F$19</f>
        <v>7.7725444650616495</v>
      </c>
      <c r="AB120" s="532">
        <f>'[2]1.1.100.'!$F$20</f>
        <v>8.325211147575635</v>
      </c>
    </row>
    <row r="121" spans="2:28" s="507" customFormat="1" ht="120">
      <c r="B121" s="74" t="s">
        <v>277</v>
      </c>
      <c r="C121" s="206" t="s">
        <v>278</v>
      </c>
      <c r="D121" s="210" t="s">
        <v>544</v>
      </c>
      <c r="E121" s="210" t="s">
        <v>559</v>
      </c>
      <c r="F121" s="210">
        <v>12.6</v>
      </c>
      <c r="G121" s="210"/>
      <c r="H121" s="210"/>
      <c r="I121" s="520"/>
      <c r="J121" s="210">
        <v>2015</v>
      </c>
      <c r="K121" s="210">
        <v>2015</v>
      </c>
      <c r="L121" s="210" t="s">
        <v>379</v>
      </c>
      <c r="M121" s="210" t="s">
        <v>379</v>
      </c>
      <c r="N121" s="210" t="s">
        <v>379</v>
      </c>
      <c r="O121" s="210" t="s">
        <v>379</v>
      </c>
      <c r="P121" s="210">
        <v>0</v>
      </c>
      <c r="Q121" s="210">
        <v>0</v>
      </c>
      <c r="R121" s="521">
        <f>'приложение 1.1'!I121</f>
        <v>2.25</v>
      </c>
      <c r="S121" s="522"/>
      <c r="T121" s="523">
        <f t="shared" si="0"/>
        <v>2.25</v>
      </c>
      <c r="U121" s="210"/>
      <c r="V121" s="274" t="s">
        <v>570</v>
      </c>
      <c r="W121" s="207" t="s">
        <v>555</v>
      </c>
      <c r="X121" s="207" t="s">
        <v>556</v>
      </c>
      <c r="Y121" s="520">
        <f>'[2]1.1.101.'!$F$21/1000000</f>
        <v>1.8389087786465141</v>
      </c>
      <c r="Z121" s="526">
        <f>'[2]1.1.101.'!$L$86</f>
        <v>0.12117918891134472</v>
      </c>
      <c r="AA121" s="522">
        <f>'[2]1.1.101.'!$F$19</f>
        <v>7.785496994471313</v>
      </c>
      <c r="AB121" s="532">
        <f>'[2]1.1.101.'!$F$20</f>
        <v>8.335529500542249</v>
      </c>
    </row>
    <row r="122" spans="2:28" s="507" customFormat="1" ht="112.5" customHeight="1">
      <c r="B122" s="74" t="s">
        <v>279</v>
      </c>
      <c r="C122" s="533" t="s">
        <v>280</v>
      </c>
      <c r="D122" s="519" t="s">
        <v>544</v>
      </c>
      <c r="E122" s="519" t="s">
        <v>559</v>
      </c>
      <c r="F122" s="210">
        <v>12.6</v>
      </c>
      <c r="G122" s="210"/>
      <c r="H122" s="210"/>
      <c r="I122" s="520"/>
      <c r="J122" s="210">
        <v>2015</v>
      </c>
      <c r="K122" s="210">
        <v>2015</v>
      </c>
      <c r="L122" s="210" t="s">
        <v>379</v>
      </c>
      <c r="M122" s="210" t="s">
        <v>379</v>
      </c>
      <c r="N122" s="210" t="s">
        <v>379</v>
      </c>
      <c r="O122" s="210" t="s">
        <v>379</v>
      </c>
      <c r="P122" s="210">
        <v>0</v>
      </c>
      <c r="Q122" s="210">
        <v>0</v>
      </c>
      <c r="R122" s="521">
        <f>'приложение 1.1'!I122</f>
        <v>0.77</v>
      </c>
      <c r="S122" s="522"/>
      <c r="T122" s="523">
        <f t="shared" si="0"/>
        <v>0.77</v>
      </c>
      <c r="U122" s="210"/>
      <c r="V122" s="207" t="s">
        <v>560</v>
      </c>
      <c r="W122" s="207" t="s">
        <v>561</v>
      </c>
      <c r="X122" s="207" t="s">
        <v>562</v>
      </c>
      <c r="Y122" s="520">
        <f>'[2]1.1.102.'!$F$21/1000000</f>
        <v>0.6299270002376977</v>
      </c>
      <c r="Z122" s="526">
        <f>'[2]1.1.102.'!$L$86</f>
        <v>0.12125841238843327</v>
      </c>
      <c r="AA122" s="522">
        <f>'[2]1.1.102.'!$F$19</f>
        <v>7.7831725058017</v>
      </c>
      <c r="AB122" s="532">
        <f>'[2]1.1.102.'!$F$20</f>
        <v>8.33367903662048</v>
      </c>
    </row>
    <row r="123" spans="2:28" s="507" customFormat="1" ht="111" customHeight="1">
      <c r="B123" s="74" t="s">
        <v>281</v>
      </c>
      <c r="C123" s="206" t="s">
        <v>282</v>
      </c>
      <c r="D123" s="210" t="s">
        <v>544</v>
      </c>
      <c r="E123" s="210" t="s">
        <v>559</v>
      </c>
      <c r="F123" s="210">
        <v>20</v>
      </c>
      <c r="G123" s="210"/>
      <c r="H123" s="210"/>
      <c r="I123" s="520"/>
      <c r="J123" s="210">
        <v>2015</v>
      </c>
      <c r="K123" s="210">
        <v>2016</v>
      </c>
      <c r="L123" s="210" t="s">
        <v>379</v>
      </c>
      <c r="M123" s="210" t="s">
        <v>379</v>
      </c>
      <c r="N123" s="210" t="s">
        <v>379</v>
      </c>
      <c r="O123" s="210" t="s">
        <v>379</v>
      </c>
      <c r="P123" s="210">
        <v>0</v>
      </c>
      <c r="Q123" s="210">
        <v>0</v>
      </c>
      <c r="R123" s="521">
        <f>'приложение 1.1'!I123</f>
        <v>8.879999999999999</v>
      </c>
      <c r="S123" s="522"/>
      <c r="T123" s="523">
        <f t="shared" si="0"/>
        <v>8.879999999999999</v>
      </c>
      <c r="U123" s="210"/>
      <c r="V123" s="207" t="s">
        <v>560</v>
      </c>
      <c r="W123" s="207" t="s">
        <v>561</v>
      </c>
      <c r="X123" s="207" t="s">
        <v>562</v>
      </c>
      <c r="Y123" s="520">
        <f>'[2]1.1.103.'!$F$21/1000000</f>
        <v>7.182133201689587</v>
      </c>
      <c r="Z123" s="526">
        <f>'[2]1.1.103.'!$L$86</f>
        <v>0.12033232066677568</v>
      </c>
      <c r="AA123" s="522">
        <f>'[2]1.1.103.'!$F$19</f>
        <v>7.810392172471973</v>
      </c>
      <c r="AB123" s="532">
        <f>'[2]1.1.103.'!$F$20</f>
        <v>8.355324946322726</v>
      </c>
    </row>
    <row r="124" spans="2:28" s="507" customFormat="1" ht="103.5" customHeight="1">
      <c r="B124" s="74" t="s">
        <v>283</v>
      </c>
      <c r="C124" s="256" t="s">
        <v>284</v>
      </c>
      <c r="D124" s="519" t="s">
        <v>544</v>
      </c>
      <c r="E124" s="519" t="s">
        <v>545</v>
      </c>
      <c r="F124" s="210">
        <v>42.6</v>
      </c>
      <c r="G124" s="210"/>
      <c r="H124" s="210"/>
      <c r="I124" s="520"/>
      <c r="J124" s="210">
        <v>2015</v>
      </c>
      <c r="K124" s="210">
        <v>2016</v>
      </c>
      <c r="L124" s="210" t="s">
        <v>379</v>
      </c>
      <c r="M124" s="210" t="s">
        <v>379</v>
      </c>
      <c r="N124" s="210" t="s">
        <v>379</v>
      </c>
      <c r="O124" s="210" t="s">
        <v>379</v>
      </c>
      <c r="P124" s="210">
        <v>0</v>
      </c>
      <c r="Q124" s="210">
        <v>0</v>
      </c>
      <c r="R124" s="521">
        <f>'приложение 1.1'!I124</f>
        <v>8.506599999999999</v>
      </c>
      <c r="S124" s="522"/>
      <c r="T124" s="523">
        <f t="shared" si="0"/>
        <v>8.506599999999999</v>
      </c>
      <c r="U124" s="210"/>
      <c r="V124" s="541" t="s">
        <v>571</v>
      </c>
      <c r="W124" s="528" t="s">
        <v>572</v>
      </c>
      <c r="X124" s="528" t="s">
        <v>586</v>
      </c>
      <c r="Y124" s="520">
        <f>'[2]1.1.104.'!$F$21/1000000</f>
        <v>8.704778688189034</v>
      </c>
      <c r="Z124" s="526">
        <f>'[2]1.1.104.'!$L$86</f>
        <v>0.12346688559090224</v>
      </c>
      <c r="AA124" s="522">
        <f>'[2]1.1.104.'!$F$19</f>
        <v>7.718964859574359</v>
      </c>
      <c r="AB124" s="532">
        <f>'[2]1.1.104.'!$F$20</f>
        <v>8.28237766545862</v>
      </c>
    </row>
    <row r="125" spans="2:28" s="507" customFormat="1" ht="125.25" customHeight="1">
      <c r="B125" s="74" t="s">
        <v>285</v>
      </c>
      <c r="C125" s="262" t="s">
        <v>286</v>
      </c>
      <c r="D125" s="210" t="s">
        <v>544</v>
      </c>
      <c r="E125" s="210" t="s">
        <v>559</v>
      </c>
      <c r="F125" s="209">
        <v>10</v>
      </c>
      <c r="G125" s="210"/>
      <c r="H125" s="209"/>
      <c r="I125" s="520"/>
      <c r="J125" s="210">
        <v>2015</v>
      </c>
      <c r="K125" s="210">
        <v>2015</v>
      </c>
      <c r="L125" s="210" t="s">
        <v>379</v>
      </c>
      <c r="M125" s="210" t="s">
        <v>379</v>
      </c>
      <c r="N125" s="210" t="s">
        <v>379</v>
      </c>
      <c r="O125" s="210" t="s">
        <v>379</v>
      </c>
      <c r="P125" s="210">
        <v>0</v>
      </c>
      <c r="Q125" s="210">
        <v>0</v>
      </c>
      <c r="R125" s="521">
        <f>'приложение 1.1'!I125</f>
        <v>7.68</v>
      </c>
      <c r="S125" s="522"/>
      <c r="T125" s="523">
        <f t="shared" si="0"/>
        <v>7.68</v>
      </c>
      <c r="U125" s="210"/>
      <c r="V125" s="274" t="s">
        <v>570</v>
      </c>
      <c r="W125" s="207" t="s">
        <v>555</v>
      </c>
      <c r="X125" s="207" t="s">
        <v>556</v>
      </c>
      <c r="Y125" s="520">
        <f>'[2]1.1.105.'!$F$21/1000000</f>
        <v>6.3365190839981524</v>
      </c>
      <c r="Z125" s="526">
        <f>'[2]1.1.105.'!$L$86</f>
        <v>0.12195346034302301</v>
      </c>
      <c r="AA125" s="522">
        <f>'[2]1.1.105.'!$F$19</f>
        <v>7.762855703558441</v>
      </c>
      <c r="AB125" s="532">
        <f>'[2]1.1.105.'!$F$20</f>
        <v>8.317483297395473</v>
      </c>
    </row>
    <row r="126" spans="2:28" s="507" customFormat="1" ht="94.5" customHeight="1">
      <c r="B126" s="74" t="s">
        <v>287</v>
      </c>
      <c r="C126" s="534" t="s">
        <v>288</v>
      </c>
      <c r="D126" s="210" t="s">
        <v>544</v>
      </c>
      <c r="E126" s="210" t="s">
        <v>559</v>
      </c>
      <c r="F126" s="210" t="s">
        <v>379</v>
      </c>
      <c r="G126" s="210"/>
      <c r="H126" s="210"/>
      <c r="I126" s="520"/>
      <c r="J126" s="210">
        <v>2015</v>
      </c>
      <c r="K126" s="210">
        <v>2015</v>
      </c>
      <c r="L126" s="210" t="s">
        <v>379</v>
      </c>
      <c r="M126" s="210" t="s">
        <v>379</v>
      </c>
      <c r="N126" s="210" t="s">
        <v>379</v>
      </c>
      <c r="O126" s="210" t="s">
        <v>379</v>
      </c>
      <c r="P126" s="210">
        <v>0</v>
      </c>
      <c r="Q126" s="210">
        <v>0</v>
      </c>
      <c r="R126" s="521">
        <f>'приложение 1.1'!I126</f>
        <v>2.33</v>
      </c>
      <c r="S126" s="522"/>
      <c r="T126" s="523">
        <f t="shared" si="0"/>
        <v>2.33</v>
      </c>
      <c r="U126" s="210"/>
      <c r="V126" s="541" t="s">
        <v>571</v>
      </c>
      <c r="W126" s="528" t="s">
        <v>572</v>
      </c>
      <c r="X126" s="528" t="s">
        <v>586</v>
      </c>
      <c r="Y126" s="520">
        <f>'[2]1.1.106.'!$F$21/1000000</f>
        <v>0.6504184577610334</v>
      </c>
      <c r="Z126" s="526">
        <f>'[2]1.1.106.'!$L$86</f>
        <v>0.06766246990451408</v>
      </c>
      <c r="AA126" s="522">
        <f>'[2]1.1.106.'!$F$19</f>
        <v>8.718915135454411</v>
      </c>
      <c r="AB126" s="532">
        <f>'[2]1.1.106.'!$F$20</f>
        <v>9.315286585869659</v>
      </c>
    </row>
    <row r="127" spans="2:28" s="507" customFormat="1" ht="113.25" customHeight="1">
      <c r="B127" s="74" t="s">
        <v>289</v>
      </c>
      <c r="C127" s="206" t="s">
        <v>290</v>
      </c>
      <c r="D127" s="210" t="s">
        <v>544</v>
      </c>
      <c r="E127" s="210" t="s">
        <v>559</v>
      </c>
      <c r="F127" s="210" t="s">
        <v>379</v>
      </c>
      <c r="G127" s="210"/>
      <c r="H127" s="210"/>
      <c r="I127" s="520"/>
      <c r="J127" s="210">
        <v>2015</v>
      </c>
      <c r="K127" s="210">
        <v>2014</v>
      </c>
      <c r="L127" s="210" t="s">
        <v>379</v>
      </c>
      <c r="M127" s="210" t="s">
        <v>379</v>
      </c>
      <c r="N127" s="210" t="s">
        <v>379</v>
      </c>
      <c r="O127" s="210" t="s">
        <v>379</v>
      </c>
      <c r="P127" s="210">
        <v>0</v>
      </c>
      <c r="Q127" s="210">
        <v>0</v>
      </c>
      <c r="R127" s="521">
        <f>'приложение 1.1'!I127</f>
        <v>0.76</v>
      </c>
      <c r="S127" s="522"/>
      <c r="T127" s="523">
        <f t="shared" si="0"/>
        <v>0.76</v>
      </c>
      <c r="U127" s="210"/>
      <c r="V127" s="207" t="s">
        <v>579</v>
      </c>
      <c r="W127" s="207" t="s">
        <v>561</v>
      </c>
      <c r="X127" s="207" t="s">
        <v>562</v>
      </c>
      <c r="Y127" s="520">
        <f>'[2]1.1.107.'!$F$21/1000000</f>
        <v>0.1915673571500246</v>
      </c>
      <c r="Z127" s="526">
        <f>'[2]1.1.107.'!$L$86</f>
        <v>0.06451444077659274</v>
      </c>
      <c r="AA127" s="522">
        <f>'[2]1.1.107.'!$F$19</f>
        <v>8.798558804205923</v>
      </c>
      <c r="AB127" s="532">
        <f>'[2]1.1.107.'!$F$20</f>
        <v>9.377704259474923</v>
      </c>
    </row>
    <row r="128" spans="2:28" s="507" customFormat="1" ht="109.5" customHeight="1">
      <c r="B128" s="74" t="s">
        <v>291</v>
      </c>
      <c r="C128" s="206" t="s">
        <v>292</v>
      </c>
      <c r="D128" s="210" t="s">
        <v>544</v>
      </c>
      <c r="E128" s="210" t="s">
        <v>559</v>
      </c>
      <c r="F128" s="210" t="s">
        <v>379</v>
      </c>
      <c r="G128" s="210"/>
      <c r="H128" s="210"/>
      <c r="I128" s="520"/>
      <c r="J128" s="210">
        <v>2015</v>
      </c>
      <c r="K128" s="210">
        <v>2015</v>
      </c>
      <c r="L128" s="210" t="s">
        <v>379</v>
      </c>
      <c r="M128" s="210" t="s">
        <v>379</v>
      </c>
      <c r="N128" s="210" t="s">
        <v>379</v>
      </c>
      <c r="O128" s="210" t="s">
        <v>379</v>
      </c>
      <c r="P128" s="210">
        <v>0</v>
      </c>
      <c r="Q128" s="210">
        <v>0</v>
      </c>
      <c r="R128" s="521">
        <f>'приложение 1.1'!I128</f>
        <v>4.78</v>
      </c>
      <c r="S128" s="522"/>
      <c r="T128" s="523">
        <f t="shared" si="0"/>
        <v>4.78</v>
      </c>
      <c r="U128" s="210"/>
      <c r="V128" s="541" t="s">
        <v>571</v>
      </c>
      <c r="W128" s="528" t="s">
        <v>572</v>
      </c>
      <c r="X128" s="528" t="s">
        <v>586</v>
      </c>
      <c r="Y128" s="520">
        <f>'[2]1.1.108.'!$F$21/1000000</f>
        <v>1.1970074053724897</v>
      </c>
      <c r="Z128" s="526">
        <f>'[2]1.1.108.'!$L$86</f>
        <v>0.06432291233144682</v>
      </c>
      <c r="AA128" s="522">
        <f>'[2]1.1.108.'!$F$19</f>
        <v>8.803451087072943</v>
      </c>
      <c r="AB128" s="532">
        <f>'[2]1.1.108.'!$F$20</f>
        <v>9.381519875112161</v>
      </c>
    </row>
    <row r="129" spans="2:28" s="507" customFormat="1" ht="109.5" customHeight="1">
      <c r="B129" s="74" t="s">
        <v>293</v>
      </c>
      <c r="C129" s="206" t="s">
        <v>294</v>
      </c>
      <c r="D129" s="210" t="s">
        <v>544</v>
      </c>
      <c r="E129" s="210" t="s">
        <v>559</v>
      </c>
      <c r="F129" s="210" t="s">
        <v>379</v>
      </c>
      <c r="G129" s="210"/>
      <c r="H129" s="210"/>
      <c r="I129" s="520"/>
      <c r="J129" s="210">
        <v>2015</v>
      </c>
      <c r="K129" s="210">
        <v>2015</v>
      </c>
      <c r="L129" s="210" t="s">
        <v>379</v>
      </c>
      <c r="M129" s="210" t="s">
        <v>379</v>
      </c>
      <c r="N129" s="210" t="s">
        <v>379</v>
      </c>
      <c r="O129" s="210" t="s">
        <v>379</v>
      </c>
      <c r="P129" s="210">
        <v>0</v>
      </c>
      <c r="Q129" s="210">
        <v>0</v>
      </c>
      <c r="R129" s="521">
        <f>'приложение 1.1'!I129</f>
        <v>12.62</v>
      </c>
      <c r="S129" s="522"/>
      <c r="T129" s="523">
        <f t="shared" si="0"/>
        <v>12.62</v>
      </c>
      <c r="U129" s="210"/>
      <c r="V129" s="541" t="s">
        <v>571</v>
      </c>
      <c r="W129" s="528" t="s">
        <v>572</v>
      </c>
      <c r="X129" s="528" t="s">
        <v>586</v>
      </c>
      <c r="Y129" s="520">
        <f>'[2]1.1.109.'!$F$21/1000000</f>
        <v>2.9516144866810534</v>
      </c>
      <c r="Z129" s="526">
        <f>'[2]1.1.109.'!$L$86</f>
        <v>0.06377959386658394</v>
      </c>
      <c r="AA129" s="522">
        <f>'[2]1.1.109.'!$F$19</f>
        <v>8.817330252832189</v>
      </c>
      <c r="AB129" s="532">
        <f>'[2]1.1.109.'!$F$20</f>
        <v>9.392342854762914</v>
      </c>
    </row>
    <row r="130" spans="2:28" s="507" customFormat="1" ht="120">
      <c r="B130" s="74" t="s">
        <v>295</v>
      </c>
      <c r="C130" s="262" t="s">
        <v>296</v>
      </c>
      <c r="D130" s="210" t="s">
        <v>544</v>
      </c>
      <c r="E130" s="210" t="s">
        <v>587</v>
      </c>
      <c r="F130" s="209"/>
      <c r="G130" s="210"/>
      <c r="H130" s="219">
        <v>0.135</v>
      </c>
      <c r="I130" s="520"/>
      <c r="J130" s="210">
        <v>2016</v>
      </c>
      <c r="K130" s="210">
        <v>2016</v>
      </c>
      <c r="L130" s="210" t="s">
        <v>379</v>
      </c>
      <c r="M130" s="210" t="s">
        <v>379</v>
      </c>
      <c r="N130" s="210" t="s">
        <v>379</v>
      </c>
      <c r="O130" s="210" t="s">
        <v>379</v>
      </c>
      <c r="P130" s="210">
        <v>0</v>
      </c>
      <c r="Q130" s="210">
        <v>0</v>
      </c>
      <c r="R130" s="521">
        <f>'приложение 1.1'!I130</f>
        <v>0.83426</v>
      </c>
      <c r="S130" s="522"/>
      <c r="T130" s="523">
        <f t="shared" si="0"/>
        <v>0.83426</v>
      </c>
      <c r="U130" s="210"/>
      <c r="V130" s="274" t="s">
        <v>554</v>
      </c>
      <c r="W130" s="207" t="s">
        <v>555</v>
      </c>
      <c r="X130" s="207" t="s">
        <v>556</v>
      </c>
      <c r="Y130" s="520">
        <f>'[2]1.1.110.'!$F$21/1000000</f>
        <v>0.15428080977362216</v>
      </c>
      <c r="Z130" s="526">
        <f>'[2]1.1.110.'!$L$86</f>
        <v>0.05870057295879061</v>
      </c>
      <c r="AA130" s="522">
        <f>'[2]1.1.110.'!$F$19</f>
        <v>8.755955302344685</v>
      </c>
      <c r="AB130" s="532">
        <f>'[2]1.1.110.'!$F$20</f>
        <v>9.428677293775008</v>
      </c>
    </row>
    <row r="131" spans="2:28" s="507" customFormat="1" ht="120">
      <c r="B131" s="74" t="s">
        <v>297</v>
      </c>
      <c r="C131" s="262" t="s">
        <v>298</v>
      </c>
      <c r="D131" s="210" t="s">
        <v>544</v>
      </c>
      <c r="E131" s="210" t="s">
        <v>557</v>
      </c>
      <c r="F131" s="209"/>
      <c r="G131" s="210"/>
      <c r="H131" s="219">
        <v>0.145</v>
      </c>
      <c r="I131" s="520"/>
      <c r="J131" s="210">
        <v>2016</v>
      </c>
      <c r="K131" s="210">
        <v>2016</v>
      </c>
      <c r="L131" s="210" t="s">
        <v>379</v>
      </c>
      <c r="M131" s="210" t="s">
        <v>379</v>
      </c>
      <c r="N131" s="210" t="s">
        <v>379</v>
      </c>
      <c r="O131" s="210" t="s">
        <v>379</v>
      </c>
      <c r="P131" s="210">
        <v>0</v>
      </c>
      <c r="Q131" s="210">
        <v>0</v>
      </c>
      <c r="R131" s="521">
        <f>'приложение 1.1'!I131</f>
        <v>0.6962</v>
      </c>
      <c r="S131" s="522"/>
      <c r="T131" s="523">
        <f t="shared" si="0"/>
        <v>0.6962</v>
      </c>
      <c r="U131" s="210"/>
      <c r="V131" s="274" t="s">
        <v>554</v>
      </c>
      <c r="W131" s="207" t="s">
        <v>555</v>
      </c>
      <c r="X131" s="207" t="s">
        <v>556</v>
      </c>
      <c r="Y131" s="520">
        <f>'[2]1.1.111.'!$F$21/1000000</f>
        <v>0.12874916685493215</v>
      </c>
      <c r="Z131" s="526">
        <f>'[2]1.1.111.'!$L$86</f>
        <v>0.05870056793069156</v>
      </c>
      <c r="AA131" s="522">
        <f>'[2]1.1.111.'!$F$19</f>
        <v>8.755955418385472</v>
      </c>
      <c r="AB131" s="532">
        <f>'[2]1.1.111.'!$F$20</f>
        <v>9.428677399220216</v>
      </c>
    </row>
    <row r="132" spans="2:28" s="507" customFormat="1" ht="120">
      <c r="B132" s="74" t="s">
        <v>299</v>
      </c>
      <c r="C132" s="262" t="s">
        <v>300</v>
      </c>
      <c r="D132" s="210" t="s">
        <v>544</v>
      </c>
      <c r="E132" s="210" t="s">
        <v>557</v>
      </c>
      <c r="F132" s="209"/>
      <c r="G132" s="210"/>
      <c r="H132" s="209">
        <v>0.2</v>
      </c>
      <c r="I132" s="520"/>
      <c r="J132" s="210">
        <v>2016</v>
      </c>
      <c r="K132" s="210">
        <v>2016</v>
      </c>
      <c r="L132" s="210" t="s">
        <v>379</v>
      </c>
      <c r="M132" s="210" t="s">
        <v>379</v>
      </c>
      <c r="N132" s="210" t="s">
        <v>379</v>
      </c>
      <c r="O132" s="210" t="s">
        <v>379</v>
      </c>
      <c r="P132" s="210">
        <v>0</v>
      </c>
      <c r="Q132" s="210">
        <v>0</v>
      </c>
      <c r="R132" s="521">
        <f>'приложение 1.1'!I132</f>
        <v>0.49560000000000004</v>
      </c>
      <c r="S132" s="522"/>
      <c r="T132" s="523">
        <f t="shared" si="0"/>
        <v>0.49560000000000004</v>
      </c>
      <c r="U132" s="210"/>
      <c r="V132" s="274" t="s">
        <v>554</v>
      </c>
      <c r="W132" s="207" t="s">
        <v>555</v>
      </c>
      <c r="X132" s="207" t="s">
        <v>556</v>
      </c>
      <c r="Y132" s="520">
        <f>'[2]1.1.112.'!$F$21/1000000</f>
        <v>0.09165198996452813</v>
      </c>
      <c r="Z132" s="526">
        <f>'[2]1.1.112.'!$L$86</f>
        <v>0.058700580022073456</v>
      </c>
      <c r="AA132" s="522">
        <f>'[2]1.1.112.'!$F$19</f>
        <v>8.755955139335004</v>
      </c>
      <c r="AB132" s="532">
        <f>'[2]1.1.112.'!$F$20</f>
        <v>9.428677145649598</v>
      </c>
    </row>
    <row r="133" spans="2:28" s="507" customFormat="1" ht="105.75" customHeight="1">
      <c r="B133" s="74" t="s">
        <v>301</v>
      </c>
      <c r="C133" s="262" t="s">
        <v>302</v>
      </c>
      <c r="D133" s="519" t="s">
        <v>544</v>
      </c>
      <c r="E133" s="210" t="s">
        <v>588</v>
      </c>
      <c r="F133" s="209">
        <v>2</v>
      </c>
      <c r="G133" s="210"/>
      <c r="H133" s="209"/>
      <c r="I133" s="520"/>
      <c r="J133" s="210">
        <v>2016</v>
      </c>
      <c r="K133" s="210">
        <v>2016</v>
      </c>
      <c r="L133" s="210" t="s">
        <v>379</v>
      </c>
      <c r="M133" s="210" t="s">
        <v>379</v>
      </c>
      <c r="N133" s="210" t="s">
        <v>379</v>
      </c>
      <c r="O133" s="210" t="s">
        <v>379</v>
      </c>
      <c r="P133" s="210">
        <v>0</v>
      </c>
      <c r="Q133" s="210">
        <v>0</v>
      </c>
      <c r="R133" s="521">
        <f>'приложение 1.1'!I133</f>
        <v>0.49560000000000004</v>
      </c>
      <c r="S133" s="522"/>
      <c r="T133" s="523">
        <f t="shared" si="0"/>
        <v>0.49560000000000004</v>
      </c>
      <c r="U133" s="210"/>
      <c r="V133" s="274" t="s">
        <v>570</v>
      </c>
      <c r="W133" s="207" t="s">
        <v>561</v>
      </c>
      <c r="X133" s="207" t="s">
        <v>562</v>
      </c>
      <c r="Y133" s="520">
        <f>'[2]1.1.113.'!$F$21/1000000</f>
        <v>0.3680662424144975</v>
      </c>
      <c r="Z133" s="526">
        <f>'[2]1.1.113.'!$L$86</f>
        <v>0.11537587851345843</v>
      </c>
      <c r="AA133" s="522">
        <f>'[2]1.1.113.'!$F$19</f>
        <v>7.852771255172952</v>
      </c>
      <c r="AB133" s="532">
        <f>'[2]1.1.113.'!$F$20</f>
        <v>8.407317935672086</v>
      </c>
    </row>
    <row r="134" spans="2:28" s="507" customFormat="1" ht="120">
      <c r="B134" s="74" t="s">
        <v>303</v>
      </c>
      <c r="C134" s="262" t="s">
        <v>304</v>
      </c>
      <c r="D134" s="210" t="s">
        <v>544</v>
      </c>
      <c r="E134" s="210" t="s">
        <v>589</v>
      </c>
      <c r="F134" s="209">
        <v>0.25</v>
      </c>
      <c r="G134" s="210"/>
      <c r="H134" s="209"/>
      <c r="I134" s="520"/>
      <c r="J134" s="210">
        <v>2016</v>
      </c>
      <c r="K134" s="210">
        <v>2016</v>
      </c>
      <c r="L134" s="210" t="s">
        <v>379</v>
      </c>
      <c r="M134" s="210" t="s">
        <v>379</v>
      </c>
      <c r="N134" s="210" t="s">
        <v>379</v>
      </c>
      <c r="O134" s="210" t="s">
        <v>379</v>
      </c>
      <c r="P134" s="210">
        <v>0</v>
      </c>
      <c r="Q134" s="210">
        <v>0</v>
      </c>
      <c r="R134" s="521">
        <f>'приложение 1.1'!I134</f>
        <v>0.6372</v>
      </c>
      <c r="S134" s="522"/>
      <c r="T134" s="523">
        <f t="shared" si="0"/>
        <v>0.6372</v>
      </c>
      <c r="U134" s="210"/>
      <c r="V134" s="541" t="s">
        <v>554</v>
      </c>
      <c r="W134" s="528" t="s">
        <v>555</v>
      </c>
      <c r="X134" s="528" t="s">
        <v>556</v>
      </c>
      <c r="Y134" s="520">
        <f>'[2]1.1.114.'!$F$21/1000000</f>
        <v>0.4759876286742238</v>
      </c>
      <c r="Z134" s="526">
        <f>'[2]1.1.114.'!$L$86</f>
        <v>0.1158193447061393</v>
      </c>
      <c r="AA134" s="522">
        <f>'[2]1.1.114.'!$F$19</f>
        <v>7.839647225280429</v>
      </c>
      <c r="AB134" s="532">
        <f>'[2]1.1.114.'!$F$20</f>
        <v>8.39656723636507</v>
      </c>
    </row>
    <row r="135" spans="2:28" s="507" customFormat="1" ht="120">
      <c r="B135" s="74" t="s">
        <v>305</v>
      </c>
      <c r="C135" s="262" t="s">
        <v>306</v>
      </c>
      <c r="D135" s="210" t="s">
        <v>544</v>
      </c>
      <c r="E135" s="210" t="s">
        <v>589</v>
      </c>
      <c r="F135" s="209">
        <v>0.4</v>
      </c>
      <c r="G135" s="210"/>
      <c r="H135" s="209"/>
      <c r="I135" s="520"/>
      <c r="J135" s="210">
        <v>2016</v>
      </c>
      <c r="K135" s="210">
        <v>2016</v>
      </c>
      <c r="L135" s="210" t="s">
        <v>379</v>
      </c>
      <c r="M135" s="210" t="s">
        <v>379</v>
      </c>
      <c r="N135" s="210" t="s">
        <v>379</v>
      </c>
      <c r="O135" s="210" t="s">
        <v>379</v>
      </c>
      <c r="P135" s="210">
        <v>0</v>
      </c>
      <c r="Q135" s="210">
        <v>0</v>
      </c>
      <c r="R135" s="521">
        <f>'приложение 1.1'!I135</f>
        <v>0.7552</v>
      </c>
      <c r="S135" s="522"/>
      <c r="T135" s="523">
        <f t="shared" si="0"/>
        <v>0.7552</v>
      </c>
      <c r="U135" s="210"/>
      <c r="V135" s="266" t="s">
        <v>554</v>
      </c>
      <c r="W135" s="266" t="s">
        <v>555</v>
      </c>
      <c r="X135" s="266" t="s">
        <v>556</v>
      </c>
      <c r="Y135" s="520">
        <f>'[2]1.1.115.'!$F$21/1000000</f>
        <v>0.5641334413916725</v>
      </c>
      <c r="Z135" s="526">
        <f>'[2]1.1.115.'!$L$86</f>
        <v>0.11581933538653755</v>
      </c>
      <c r="AA135" s="522">
        <f>'[2]1.1.115.'!$F$19</f>
        <v>7.839647416458263</v>
      </c>
      <c r="AB135" s="532">
        <f>'[2]1.1.115.'!$F$20</f>
        <v>8.396567409604685</v>
      </c>
    </row>
    <row r="136" spans="2:28" s="507" customFormat="1" ht="125.25" customHeight="1">
      <c r="B136" s="74" t="s">
        <v>307</v>
      </c>
      <c r="C136" s="262" t="s">
        <v>308</v>
      </c>
      <c r="D136" s="210" t="s">
        <v>544</v>
      </c>
      <c r="E136" s="210" t="s">
        <v>589</v>
      </c>
      <c r="F136" s="210">
        <v>0.25</v>
      </c>
      <c r="G136" s="210"/>
      <c r="H136" s="209"/>
      <c r="I136" s="520"/>
      <c r="J136" s="210">
        <v>2016</v>
      </c>
      <c r="K136" s="210">
        <v>2016</v>
      </c>
      <c r="L136" s="210" t="s">
        <v>379</v>
      </c>
      <c r="M136" s="210" t="s">
        <v>379</v>
      </c>
      <c r="N136" s="210" t="s">
        <v>379</v>
      </c>
      <c r="O136" s="210" t="s">
        <v>379</v>
      </c>
      <c r="P136" s="210">
        <v>0</v>
      </c>
      <c r="Q136" s="210">
        <v>0</v>
      </c>
      <c r="R136" s="521">
        <f>'приложение 1.1'!I136</f>
        <v>0.6372</v>
      </c>
      <c r="S136" s="522"/>
      <c r="T136" s="523">
        <f t="shared" si="0"/>
        <v>0.6372</v>
      </c>
      <c r="U136" s="210"/>
      <c r="V136" s="541" t="s">
        <v>554</v>
      </c>
      <c r="W136" s="528" t="s">
        <v>555</v>
      </c>
      <c r="X136" s="528" t="s">
        <v>556</v>
      </c>
      <c r="Y136" s="520">
        <f>'[2]1.1.116.'!$F$21/1000000</f>
        <v>0.4759876286742238</v>
      </c>
      <c r="Z136" s="526">
        <f>'[2]1.1.116.'!$L$86</f>
        <v>0.1158193447061393</v>
      </c>
      <c r="AA136" s="522">
        <f>'[2]1.1.116.'!$F$19</f>
        <v>7.839647225280429</v>
      </c>
      <c r="AB136" s="532">
        <f>'[2]1.1.116.'!$F$20</f>
        <v>8.39656723636507</v>
      </c>
    </row>
    <row r="137" spans="2:28" s="507" customFormat="1" ht="131.25" customHeight="1">
      <c r="B137" s="74" t="s">
        <v>309</v>
      </c>
      <c r="C137" s="262" t="s">
        <v>310</v>
      </c>
      <c r="D137" s="210" t="s">
        <v>544</v>
      </c>
      <c r="E137" s="210" t="s">
        <v>589</v>
      </c>
      <c r="F137" s="209">
        <v>0.25</v>
      </c>
      <c r="G137" s="210"/>
      <c r="H137" s="209"/>
      <c r="I137" s="520"/>
      <c r="J137" s="210">
        <v>2016</v>
      </c>
      <c r="K137" s="210">
        <v>2016</v>
      </c>
      <c r="L137" s="210" t="s">
        <v>379</v>
      </c>
      <c r="M137" s="210" t="s">
        <v>379</v>
      </c>
      <c r="N137" s="210" t="s">
        <v>379</v>
      </c>
      <c r="O137" s="210" t="s">
        <v>379</v>
      </c>
      <c r="P137" s="210">
        <v>0</v>
      </c>
      <c r="Q137" s="210">
        <v>0</v>
      </c>
      <c r="R137" s="521">
        <f>'приложение 1.1'!I137</f>
        <v>0.6372</v>
      </c>
      <c r="S137" s="522"/>
      <c r="T137" s="523">
        <f t="shared" si="0"/>
        <v>0.6372</v>
      </c>
      <c r="U137" s="210"/>
      <c r="V137" s="541" t="s">
        <v>554</v>
      </c>
      <c r="W137" s="528" t="s">
        <v>555</v>
      </c>
      <c r="X137" s="528" t="s">
        <v>556</v>
      </c>
      <c r="Y137" s="520">
        <f>'[2]1.1.117.'!$F$21/1000000</f>
        <v>0.4759876286742238</v>
      </c>
      <c r="Z137" s="526">
        <f>'[2]1.1.117.'!$L$86</f>
        <v>0.1158193447061393</v>
      </c>
      <c r="AA137" s="522">
        <f>'[2]1.1.117.'!$F$19</f>
        <v>7.839647225280429</v>
      </c>
      <c r="AB137" s="532">
        <f>'[2]1.1.117.'!$F$20</f>
        <v>8.39656723636507</v>
      </c>
    </row>
    <row r="138" spans="2:28" s="507" customFormat="1" ht="102" customHeight="1">
      <c r="B138" s="74" t="s">
        <v>311</v>
      </c>
      <c r="C138" s="265" t="s">
        <v>312</v>
      </c>
      <c r="D138" s="210" t="s">
        <v>544</v>
      </c>
      <c r="E138" s="210" t="s">
        <v>559</v>
      </c>
      <c r="F138" s="209">
        <v>20</v>
      </c>
      <c r="G138" s="210"/>
      <c r="H138" s="209"/>
      <c r="I138" s="520"/>
      <c r="J138" s="210">
        <v>2016</v>
      </c>
      <c r="K138" s="210">
        <v>2016</v>
      </c>
      <c r="L138" s="210" t="s">
        <v>379</v>
      </c>
      <c r="M138" s="210" t="s">
        <v>379</v>
      </c>
      <c r="N138" s="210" t="s">
        <v>379</v>
      </c>
      <c r="O138" s="210" t="s">
        <v>379</v>
      </c>
      <c r="P138" s="210">
        <v>0</v>
      </c>
      <c r="Q138" s="210">
        <v>0</v>
      </c>
      <c r="R138" s="521">
        <f>'приложение 1.1'!I138</f>
        <v>5.6168</v>
      </c>
      <c r="S138" s="522"/>
      <c r="T138" s="523">
        <f t="shared" si="0"/>
        <v>5.6168</v>
      </c>
      <c r="U138" s="210"/>
      <c r="V138" s="274" t="s">
        <v>571</v>
      </c>
      <c r="W138" s="207" t="s">
        <v>572</v>
      </c>
      <c r="X138" s="207" t="s">
        <v>551</v>
      </c>
      <c r="Y138" s="520">
        <f>'[2]1.1.118.'!$F$21/1000000</f>
        <v>4.070999182173145</v>
      </c>
      <c r="Z138" s="526">
        <f>'[2]1.1.118.'!$L$86</f>
        <v>0.1135416937419409</v>
      </c>
      <c r="AA138" s="522">
        <f>'[2]1.1.118.'!$F$19</f>
        <v>7.907486169469645</v>
      </c>
      <c r="AB138" s="532">
        <f>'[2]1.1.118.'!$F$20</f>
        <v>8.451991497007413</v>
      </c>
    </row>
    <row r="139" spans="2:28" s="507" customFormat="1" ht="28.5">
      <c r="B139" s="224" t="s">
        <v>313</v>
      </c>
      <c r="C139" s="225" t="s">
        <v>314</v>
      </c>
      <c r="D139" s="542"/>
      <c r="E139" s="542"/>
      <c r="F139" s="543"/>
      <c r="G139" s="544"/>
      <c r="H139" s="543"/>
      <c r="I139" s="544"/>
      <c r="J139" s="228"/>
      <c r="K139" s="228"/>
      <c r="L139" s="228"/>
      <c r="M139" s="228"/>
      <c r="N139" s="543"/>
      <c r="O139" s="543"/>
      <c r="P139" s="543"/>
      <c r="Q139" s="543"/>
      <c r="R139" s="545"/>
      <c r="S139" s="546"/>
      <c r="T139" s="545"/>
      <c r="U139" s="544"/>
      <c r="V139" s="547"/>
      <c r="W139" s="547"/>
      <c r="X139" s="547"/>
      <c r="Y139" s="543"/>
      <c r="Z139" s="544"/>
      <c r="AA139" s="544"/>
      <c r="AB139" s="548"/>
    </row>
    <row r="140" spans="2:28" s="507" customFormat="1" ht="15">
      <c r="B140" s="230"/>
      <c r="C140" s="231"/>
      <c r="D140" s="519"/>
      <c r="E140" s="519"/>
      <c r="F140" s="549"/>
      <c r="G140" s="536"/>
      <c r="H140" s="536"/>
      <c r="I140" s="536"/>
      <c r="J140" s="234"/>
      <c r="K140" s="234"/>
      <c r="L140" s="234"/>
      <c r="M140" s="234"/>
      <c r="N140" s="549"/>
      <c r="O140" s="549"/>
      <c r="P140" s="549"/>
      <c r="Q140" s="549"/>
      <c r="R140" s="550"/>
      <c r="S140" s="536"/>
      <c r="T140" s="550"/>
      <c r="U140" s="536"/>
      <c r="V140" s="541"/>
      <c r="W140" s="541"/>
      <c r="X140" s="541"/>
      <c r="Y140" s="549"/>
      <c r="Z140" s="536"/>
      <c r="AA140" s="536"/>
      <c r="AB140" s="551"/>
    </row>
    <row r="141" spans="2:28" s="507" customFormat="1" ht="15">
      <c r="B141" s="224" t="s">
        <v>315</v>
      </c>
      <c r="C141" s="225" t="s">
        <v>316</v>
      </c>
      <c r="D141" s="552"/>
      <c r="E141" s="552"/>
      <c r="F141" s="553"/>
      <c r="G141" s="554"/>
      <c r="H141" s="554"/>
      <c r="I141" s="554"/>
      <c r="J141" s="244"/>
      <c r="K141" s="244"/>
      <c r="L141" s="244"/>
      <c r="M141" s="244"/>
      <c r="N141" s="553"/>
      <c r="O141" s="553"/>
      <c r="P141" s="553"/>
      <c r="Q141" s="553"/>
      <c r="R141" s="555"/>
      <c r="S141" s="554"/>
      <c r="T141" s="555"/>
      <c r="U141" s="554"/>
      <c r="V141" s="271"/>
      <c r="W141" s="271"/>
      <c r="X141" s="271"/>
      <c r="Y141" s="553"/>
      <c r="Z141" s="554"/>
      <c r="AA141" s="554"/>
      <c r="AB141" s="556"/>
    </row>
    <row r="142" spans="2:28" s="507" customFormat="1" ht="15">
      <c r="B142" s="230"/>
      <c r="C142" s="231"/>
      <c r="D142" s="519"/>
      <c r="E142" s="519"/>
      <c r="F142" s="549"/>
      <c r="G142" s="536"/>
      <c r="H142" s="536"/>
      <c r="I142" s="536"/>
      <c r="J142" s="251"/>
      <c r="K142" s="251"/>
      <c r="L142" s="251"/>
      <c r="M142" s="251"/>
      <c r="N142" s="549"/>
      <c r="O142" s="549"/>
      <c r="P142" s="549"/>
      <c r="Q142" s="549"/>
      <c r="R142" s="550"/>
      <c r="S142" s="536"/>
      <c r="T142" s="550"/>
      <c r="U142" s="536"/>
      <c r="V142" s="541"/>
      <c r="W142" s="541"/>
      <c r="X142" s="541"/>
      <c r="Y142" s="549"/>
      <c r="Z142" s="536"/>
      <c r="AA142" s="536"/>
      <c r="AB142" s="551"/>
    </row>
    <row r="143" spans="2:28" s="507" customFormat="1" ht="42.75">
      <c r="B143" s="224" t="s">
        <v>317</v>
      </c>
      <c r="C143" s="225" t="s">
        <v>318</v>
      </c>
      <c r="D143" s="542"/>
      <c r="E143" s="542"/>
      <c r="F143" s="543"/>
      <c r="G143" s="544"/>
      <c r="H143" s="543"/>
      <c r="I143" s="544"/>
      <c r="J143" s="278"/>
      <c r="K143" s="278"/>
      <c r="L143" s="278"/>
      <c r="M143" s="278"/>
      <c r="N143" s="543"/>
      <c r="O143" s="543"/>
      <c r="P143" s="543"/>
      <c r="Q143" s="543"/>
      <c r="R143" s="545"/>
      <c r="S143" s="544"/>
      <c r="T143" s="545"/>
      <c r="U143" s="544"/>
      <c r="V143" s="547"/>
      <c r="W143" s="547"/>
      <c r="X143" s="547"/>
      <c r="Y143" s="543"/>
      <c r="Z143" s="544"/>
      <c r="AA143" s="544"/>
      <c r="AB143" s="548"/>
    </row>
    <row r="144" spans="2:28" s="507" customFormat="1" ht="15">
      <c r="B144" s="230"/>
      <c r="C144" s="231"/>
      <c r="D144" s="519"/>
      <c r="E144" s="519"/>
      <c r="F144" s="549"/>
      <c r="G144" s="536"/>
      <c r="H144" s="536"/>
      <c r="I144" s="536"/>
      <c r="J144" s="251"/>
      <c r="K144" s="251"/>
      <c r="L144" s="251"/>
      <c r="M144" s="251"/>
      <c r="N144" s="549"/>
      <c r="O144" s="549"/>
      <c r="P144" s="549"/>
      <c r="Q144" s="549"/>
      <c r="R144" s="550"/>
      <c r="S144" s="536"/>
      <c r="T144" s="550"/>
      <c r="U144" s="536"/>
      <c r="V144" s="541"/>
      <c r="W144" s="541"/>
      <c r="X144" s="541"/>
      <c r="Y144" s="549"/>
      <c r="Z144" s="536"/>
      <c r="AA144" s="536"/>
      <c r="AB144" s="551"/>
    </row>
    <row r="145" spans="2:28" s="507" customFormat="1" ht="15">
      <c r="B145" s="237" t="s">
        <v>319</v>
      </c>
      <c r="C145" s="172" t="s">
        <v>320</v>
      </c>
      <c r="D145" s="519"/>
      <c r="E145" s="519"/>
      <c r="F145" s="549">
        <f>F146+F148</f>
        <v>2</v>
      </c>
      <c r="G145" s="536"/>
      <c r="H145" s="557">
        <f>H146+H148</f>
        <v>13.62</v>
      </c>
      <c r="I145" s="536"/>
      <c r="J145" s="251"/>
      <c r="K145" s="251"/>
      <c r="L145" s="251"/>
      <c r="M145" s="251"/>
      <c r="N145" s="549"/>
      <c r="O145" s="549"/>
      <c r="P145" s="549">
        <f>P146+P148</f>
        <v>0</v>
      </c>
      <c r="Q145" s="549">
        <f>Q146+Q148</f>
        <v>0</v>
      </c>
      <c r="R145" s="558">
        <f>R146+R148</f>
        <v>27.453999999999997</v>
      </c>
      <c r="S145" s="559"/>
      <c r="T145" s="558">
        <f>T146+T148</f>
        <v>27.455399999999997</v>
      </c>
      <c r="U145" s="536"/>
      <c r="V145" s="541"/>
      <c r="W145" s="541"/>
      <c r="X145" s="541"/>
      <c r="Y145" s="549"/>
      <c r="Z145" s="536"/>
      <c r="AA145" s="536"/>
      <c r="AB145" s="551"/>
    </row>
    <row r="146" spans="2:28" ht="28.5">
      <c r="B146" s="243" t="s">
        <v>321</v>
      </c>
      <c r="C146" s="244" t="s">
        <v>75</v>
      </c>
      <c r="D146" s="542"/>
      <c r="E146" s="542"/>
      <c r="F146" s="543"/>
      <c r="G146" s="544"/>
      <c r="H146" s="543">
        <f>H147</f>
        <v>0.61</v>
      </c>
      <c r="I146" s="544"/>
      <c r="J146" s="278"/>
      <c r="K146" s="278"/>
      <c r="L146" s="278"/>
      <c r="M146" s="278"/>
      <c r="N146" s="543"/>
      <c r="O146" s="543"/>
      <c r="P146" s="543"/>
      <c r="Q146" s="543"/>
      <c r="R146" s="560">
        <f>R147</f>
        <v>1.7</v>
      </c>
      <c r="S146" s="561"/>
      <c r="T146" s="560">
        <f>T147</f>
        <v>1.7</v>
      </c>
      <c r="U146" s="544"/>
      <c r="V146" s="547"/>
      <c r="W146" s="547"/>
      <c r="X146" s="547"/>
      <c r="Y146" s="543"/>
      <c r="Z146" s="544"/>
      <c r="AA146" s="544"/>
      <c r="AB146" s="548"/>
    </row>
    <row r="147" spans="2:28" ht="120">
      <c r="B147" s="248" t="s">
        <v>322</v>
      </c>
      <c r="C147" s="249" t="s">
        <v>323</v>
      </c>
      <c r="D147" s="210" t="s">
        <v>544</v>
      </c>
      <c r="E147" s="210" t="s">
        <v>559</v>
      </c>
      <c r="F147" s="549"/>
      <c r="G147" s="536"/>
      <c r="H147" s="549">
        <v>0.61</v>
      </c>
      <c r="I147" s="536"/>
      <c r="J147" s="251">
        <v>2014</v>
      </c>
      <c r="K147" s="251">
        <v>2014</v>
      </c>
      <c r="L147" s="562" t="s">
        <v>379</v>
      </c>
      <c r="M147" s="562" t="s">
        <v>379</v>
      </c>
      <c r="N147" s="562" t="s">
        <v>379</v>
      </c>
      <c r="O147" s="562" t="s">
        <v>379</v>
      </c>
      <c r="P147" s="519">
        <v>0</v>
      </c>
      <c r="Q147" s="519">
        <v>0</v>
      </c>
      <c r="R147" s="259">
        <v>1.7</v>
      </c>
      <c r="S147" s="563"/>
      <c r="T147" s="259">
        <v>1.7</v>
      </c>
      <c r="U147" s="536"/>
      <c r="V147" s="541" t="s">
        <v>546</v>
      </c>
      <c r="W147" s="207" t="s">
        <v>555</v>
      </c>
      <c r="X147" s="207" t="s">
        <v>556</v>
      </c>
      <c r="Y147" s="558">
        <f>'[2]2.1.1.'!$F$21/1000000</f>
        <v>0.28171157596764007</v>
      </c>
      <c r="Z147" s="564">
        <f>'[2]2.1.1.'!$L$86</f>
        <v>0.05616891491150988</v>
      </c>
      <c r="AA147" s="557">
        <f>'[2]2.1.1.'!$F$19</f>
        <v>8.824747444989768</v>
      </c>
      <c r="AB147" s="565">
        <f>'[2]2.1.1.'!$F$20</f>
        <v>9.484937991763617</v>
      </c>
    </row>
    <row r="148" spans="2:28" ht="15.75">
      <c r="B148" s="243" t="s">
        <v>325</v>
      </c>
      <c r="C148" s="244" t="s">
        <v>326</v>
      </c>
      <c r="D148" s="542"/>
      <c r="E148" s="542"/>
      <c r="F148" s="543">
        <f>F149+F163+F170+F172</f>
        <v>2</v>
      </c>
      <c r="G148" s="544"/>
      <c r="H148" s="566">
        <f>H149+H163+H170+H172</f>
        <v>13.01</v>
      </c>
      <c r="I148" s="544"/>
      <c r="J148" s="278"/>
      <c r="K148" s="278"/>
      <c r="L148" s="278"/>
      <c r="M148" s="278"/>
      <c r="N148" s="543"/>
      <c r="O148" s="543"/>
      <c r="P148" s="543">
        <f>P149+P163+P170+P172</f>
        <v>0</v>
      </c>
      <c r="Q148" s="543">
        <f>Q149+Q163+Q170+Q172</f>
        <v>0</v>
      </c>
      <c r="R148" s="560">
        <f>R149+R163+R170+R172</f>
        <v>25.753999999999998</v>
      </c>
      <c r="S148" s="561"/>
      <c r="T148" s="560">
        <f>T149+T163+T170+T172</f>
        <v>25.755399999999998</v>
      </c>
      <c r="U148" s="544"/>
      <c r="V148" s="547"/>
      <c r="W148" s="547"/>
      <c r="X148" s="547"/>
      <c r="Y148" s="543"/>
      <c r="Z148" s="544"/>
      <c r="AA148" s="544"/>
      <c r="AB148" s="548"/>
    </row>
    <row r="149" spans="2:28" ht="15.75">
      <c r="B149" s="243" t="s">
        <v>327</v>
      </c>
      <c r="C149" s="244" t="s">
        <v>328</v>
      </c>
      <c r="D149" s="542"/>
      <c r="E149" s="542"/>
      <c r="F149" s="543"/>
      <c r="G149" s="544"/>
      <c r="H149" s="543">
        <f>SUM(H150:H162)</f>
        <v>4.800000000000001</v>
      </c>
      <c r="I149" s="544"/>
      <c r="J149" s="278"/>
      <c r="K149" s="278"/>
      <c r="L149" s="278"/>
      <c r="M149" s="278"/>
      <c r="N149" s="543"/>
      <c r="O149" s="543"/>
      <c r="P149" s="543">
        <f>SUM(P150:P162)</f>
        <v>0</v>
      </c>
      <c r="Q149" s="543">
        <f>SUM(Q150:Q162)</f>
        <v>0</v>
      </c>
      <c r="R149" s="560">
        <f>SUM(R150:R162)</f>
        <v>5.569999999999999</v>
      </c>
      <c r="S149" s="561"/>
      <c r="T149" s="560">
        <f>SUM(T150:T162)</f>
        <v>5.5764</v>
      </c>
      <c r="U149" s="544"/>
      <c r="V149" s="547"/>
      <c r="W149" s="547"/>
      <c r="X149" s="547"/>
      <c r="Y149" s="543"/>
      <c r="Z149" s="544"/>
      <c r="AA149" s="544"/>
      <c r="AB149" s="548"/>
    </row>
    <row r="150" spans="1:28" s="575" customFormat="1" ht="30">
      <c r="A150" s="567"/>
      <c r="B150" s="252" t="s">
        <v>329</v>
      </c>
      <c r="C150" s="249" t="s">
        <v>330</v>
      </c>
      <c r="D150" s="210" t="s">
        <v>544</v>
      </c>
      <c r="E150" s="210" t="s">
        <v>557</v>
      </c>
      <c r="F150" s="568"/>
      <c r="G150" s="569"/>
      <c r="H150" s="234">
        <v>0.09</v>
      </c>
      <c r="I150" s="569"/>
      <c r="J150" s="251">
        <v>2014</v>
      </c>
      <c r="K150" s="251">
        <v>2014</v>
      </c>
      <c r="L150" s="251" t="s">
        <v>379</v>
      </c>
      <c r="M150" s="251" t="s">
        <v>379</v>
      </c>
      <c r="N150" s="568" t="s">
        <v>379</v>
      </c>
      <c r="O150" s="568" t="s">
        <v>379</v>
      </c>
      <c r="P150" s="568">
        <v>0</v>
      </c>
      <c r="Q150" s="568">
        <v>0</v>
      </c>
      <c r="R150" s="570">
        <f>'приложение 1.1'!I150</f>
        <v>0.19</v>
      </c>
      <c r="S150" s="571"/>
      <c r="T150" s="570">
        <v>0.19</v>
      </c>
      <c r="U150" s="569"/>
      <c r="V150" s="524"/>
      <c r="W150" s="524"/>
      <c r="X150" s="524"/>
      <c r="Y150" s="570">
        <f>'[2]2.2.1.1.'!$F$21/100000</f>
        <v>0.3149595912900674</v>
      </c>
      <c r="Z150" s="572">
        <f>'[2]2.2.1.1.'!$L$86</f>
        <v>0.05617588602012691</v>
      </c>
      <c r="AA150" s="573">
        <f>'[2]2.2.1.1.'!$F$19</f>
        <v>8.824590972219799</v>
      </c>
      <c r="AB150" s="574">
        <f>'[2]2.2.1.1.'!$F$20</f>
        <v>9.484792428625365</v>
      </c>
    </row>
    <row r="151" spans="1:28" s="575" customFormat="1" ht="105">
      <c r="A151" s="567"/>
      <c r="B151" s="252" t="s">
        <v>331</v>
      </c>
      <c r="C151" s="249" t="s">
        <v>332</v>
      </c>
      <c r="D151" s="210" t="s">
        <v>544</v>
      </c>
      <c r="E151" s="210" t="s">
        <v>563</v>
      </c>
      <c r="F151" s="568"/>
      <c r="G151" s="569"/>
      <c r="H151" s="234">
        <v>0.26</v>
      </c>
      <c r="I151" s="569"/>
      <c r="J151" s="251">
        <v>2014</v>
      </c>
      <c r="K151" s="251">
        <v>2014</v>
      </c>
      <c r="L151" s="251" t="s">
        <v>379</v>
      </c>
      <c r="M151" s="251" t="s">
        <v>379</v>
      </c>
      <c r="N151" s="568" t="s">
        <v>379</v>
      </c>
      <c r="O151" s="568" t="s">
        <v>379</v>
      </c>
      <c r="P151" s="568">
        <v>0</v>
      </c>
      <c r="Q151" s="568">
        <v>0</v>
      </c>
      <c r="R151" s="570">
        <f>'приложение 1.1'!I151</f>
        <v>0.4</v>
      </c>
      <c r="S151" s="571"/>
      <c r="T151" s="570">
        <v>0.4</v>
      </c>
      <c r="U151" s="569"/>
      <c r="V151" s="541" t="s">
        <v>590</v>
      </c>
      <c r="W151" s="524" t="s">
        <v>591</v>
      </c>
      <c r="X151" s="266" t="s">
        <v>592</v>
      </c>
      <c r="Y151" s="570">
        <f>'[2]2.2.1.2.'!$F$21/1000000</f>
        <v>0.06627581488135431</v>
      </c>
      <c r="Z151" s="572">
        <f>'[2]2.2.1.2.'!$L$86</f>
        <v>0.056166006915274735</v>
      </c>
      <c r="AA151" s="573">
        <f>'[2]2.2.1.2.'!$F$19</f>
        <v>8.824812726383536</v>
      </c>
      <c r="AB151" s="574">
        <f>'[2]2.2.1.2.'!$F$20</f>
        <v>9.484998721172726</v>
      </c>
    </row>
    <row r="152" spans="1:28" s="575" customFormat="1" ht="105">
      <c r="A152" s="567"/>
      <c r="B152" s="252" t="s">
        <v>333</v>
      </c>
      <c r="C152" s="249" t="s">
        <v>334</v>
      </c>
      <c r="D152" s="210" t="s">
        <v>544</v>
      </c>
      <c r="E152" s="210" t="s">
        <v>593</v>
      </c>
      <c r="F152" s="568"/>
      <c r="G152" s="569"/>
      <c r="H152" s="234">
        <v>0.05</v>
      </c>
      <c r="I152" s="569"/>
      <c r="J152" s="251">
        <v>2014</v>
      </c>
      <c r="K152" s="251">
        <v>2014</v>
      </c>
      <c r="L152" s="251" t="s">
        <v>379</v>
      </c>
      <c r="M152" s="251" t="s">
        <v>379</v>
      </c>
      <c r="N152" s="568" t="s">
        <v>379</v>
      </c>
      <c r="O152" s="568" t="s">
        <v>379</v>
      </c>
      <c r="P152" s="568">
        <v>0</v>
      </c>
      <c r="Q152" s="568">
        <v>0</v>
      </c>
      <c r="R152" s="570">
        <f>'приложение 1.1'!I152</f>
        <v>0.19</v>
      </c>
      <c r="S152" s="571"/>
      <c r="T152" s="570">
        <v>0.19</v>
      </c>
      <c r="U152" s="569"/>
      <c r="V152" s="541" t="s">
        <v>590</v>
      </c>
      <c r="W152" s="524" t="s">
        <v>591</v>
      </c>
      <c r="X152" s="266" t="s">
        <v>592</v>
      </c>
      <c r="Y152" s="570">
        <f>'[2]2.2.1.3.'!$F$21/1000000</f>
        <v>0.03149595912900674</v>
      </c>
      <c r="Z152" s="572">
        <f>'[2]2.2.1.3.'!$L$86</f>
        <v>0.05617588602012691</v>
      </c>
      <c r="AA152" s="573">
        <f>'[2]2.2.1.3.'!$F$19</f>
        <v>8.824590972219799</v>
      </c>
      <c r="AB152" s="574">
        <f>'[2]2.2.1.3.'!$F$20</f>
        <v>9.484792428625365</v>
      </c>
    </row>
    <row r="153" spans="1:28" s="575" customFormat="1" ht="120">
      <c r="A153" s="567"/>
      <c r="B153" s="252" t="s">
        <v>335</v>
      </c>
      <c r="C153" s="256" t="s">
        <v>336</v>
      </c>
      <c r="D153" s="519" t="s">
        <v>544</v>
      </c>
      <c r="E153" s="519" t="s">
        <v>594</v>
      </c>
      <c r="F153" s="568"/>
      <c r="G153" s="569"/>
      <c r="H153" s="234">
        <v>0.7</v>
      </c>
      <c r="I153" s="569"/>
      <c r="J153" s="210">
        <v>2015</v>
      </c>
      <c r="K153" s="210">
        <v>2015</v>
      </c>
      <c r="L153" s="251" t="s">
        <v>379</v>
      </c>
      <c r="M153" s="251" t="s">
        <v>379</v>
      </c>
      <c r="N153" s="568" t="s">
        <v>379</v>
      </c>
      <c r="O153" s="568" t="s">
        <v>379</v>
      </c>
      <c r="P153" s="568">
        <v>0</v>
      </c>
      <c r="Q153" s="568">
        <v>0</v>
      </c>
      <c r="R153" s="570">
        <f>'приложение 1.1'!I153</f>
        <v>1.15</v>
      </c>
      <c r="S153" s="571"/>
      <c r="T153" s="221">
        <v>1.145</v>
      </c>
      <c r="U153" s="569"/>
      <c r="V153" s="541" t="s">
        <v>546</v>
      </c>
      <c r="W153" s="207" t="s">
        <v>555</v>
      </c>
      <c r="X153" s="207" t="s">
        <v>556</v>
      </c>
      <c r="Y153" s="570">
        <f>'[2]2.2.1.4.'!$F$21/1000000</f>
        <v>0.19057076007992416</v>
      </c>
      <c r="Z153" s="572">
        <f>'[2]2.2.1.4.'!$L$86</f>
        <v>0.056169047091709556</v>
      </c>
      <c r="AA153" s="573">
        <f>'[2]2.2.1.4.'!$F$19</f>
        <v>8.82474448596216</v>
      </c>
      <c r="AB153" s="574">
        <f>'[2]2.2.1.4.'!$F$20</f>
        <v>9.484935236142169</v>
      </c>
    </row>
    <row r="154" spans="1:28" s="575" customFormat="1" ht="105">
      <c r="A154" s="567"/>
      <c r="B154" s="248" t="s">
        <v>337</v>
      </c>
      <c r="C154" s="260" t="s">
        <v>338</v>
      </c>
      <c r="D154" s="519" t="s">
        <v>544</v>
      </c>
      <c r="E154" s="519" t="s">
        <v>595</v>
      </c>
      <c r="F154" s="568"/>
      <c r="G154" s="569"/>
      <c r="H154" s="234">
        <v>0.33</v>
      </c>
      <c r="I154" s="569"/>
      <c r="J154" s="210">
        <v>2015</v>
      </c>
      <c r="K154" s="210">
        <v>2015</v>
      </c>
      <c r="L154" s="251" t="s">
        <v>379</v>
      </c>
      <c r="M154" s="251" t="s">
        <v>379</v>
      </c>
      <c r="N154" s="568" t="s">
        <v>379</v>
      </c>
      <c r="O154" s="568" t="s">
        <v>379</v>
      </c>
      <c r="P154" s="568">
        <v>0</v>
      </c>
      <c r="Q154" s="568">
        <v>0</v>
      </c>
      <c r="R154" s="570">
        <f>'приложение 1.1'!I154</f>
        <v>0.29</v>
      </c>
      <c r="S154" s="571"/>
      <c r="T154" s="221">
        <v>0.285</v>
      </c>
      <c r="U154" s="569"/>
      <c r="V154" s="541" t="s">
        <v>590</v>
      </c>
      <c r="W154" s="524" t="s">
        <v>591</v>
      </c>
      <c r="X154" s="266" t="s">
        <v>592</v>
      </c>
      <c r="Y154" s="570">
        <f>'[2]2.2.1.5.'!$F$21/1000000</f>
        <v>0.04807249313324789</v>
      </c>
      <c r="Z154" s="572">
        <f>'[2]2.2.1.5.'!$L$86</f>
        <v>0.05617573971611822</v>
      </c>
      <c r="AA154" s="573">
        <f>'[2]2.2.1.5.'!$F$19</f>
        <v>8.824594280390162</v>
      </c>
      <c r="AB154" s="574">
        <f>'[2]2.2.1.5.'!$F$20</f>
        <v>9.484795497384363</v>
      </c>
    </row>
    <row r="155" spans="1:28" s="575" customFormat="1" ht="120">
      <c r="A155" s="567"/>
      <c r="B155" s="248" t="s">
        <v>339</v>
      </c>
      <c r="C155" s="261" t="s">
        <v>340</v>
      </c>
      <c r="D155" s="519" t="s">
        <v>544</v>
      </c>
      <c r="E155" s="519" t="s">
        <v>596</v>
      </c>
      <c r="F155" s="568"/>
      <c r="G155" s="569"/>
      <c r="H155" s="234">
        <v>0.49</v>
      </c>
      <c r="I155" s="569"/>
      <c r="J155" s="210">
        <v>2015</v>
      </c>
      <c r="K155" s="210">
        <v>2015</v>
      </c>
      <c r="L155" s="251" t="s">
        <v>379</v>
      </c>
      <c r="M155" s="251" t="s">
        <v>379</v>
      </c>
      <c r="N155" s="568" t="s">
        <v>379</v>
      </c>
      <c r="O155" s="568" t="s">
        <v>379</v>
      </c>
      <c r="P155" s="568">
        <v>0</v>
      </c>
      <c r="Q155" s="568">
        <v>0</v>
      </c>
      <c r="R155" s="570">
        <f>'приложение 1.1'!I155</f>
        <v>0.53</v>
      </c>
      <c r="S155" s="571"/>
      <c r="T155" s="221">
        <v>0.53</v>
      </c>
      <c r="U155" s="569"/>
      <c r="V155" s="541" t="s">
        <v>546</v>
      </c>
      <c r="W155" s="207" t="s">
        <v>555</v>
      </c>
      <c r="X155" s="207" t="s">
        <v>556</v>
      </c>
      <c r="Y155" s="570">
        <f>'[2]2.2.1.6.'!$F$21/1000000</f>
        <v>0.08782513682639373</v>
      </c>
      <c r="Z155" s="572">
        <f>'[2]2.2.1.6.'!$L$86</f>
        <v>0.056168277509093256</v>
      </c>
      <c r="AA155" s="573">
        <f>'[2]2.2.1.6.'!$F$19</f>
        <v>8.824761766592681</v>
      </c>
      <c r="AB155" s="574">
        <f>'[2]2.2.1.6.'!$F$20</f>
        <v>9.484951310092699</v>
      </c>
    </row>
    <row r="156" spans="1:28" s="575" customFormat="1" ht="120">
      <c r="A156" s="567"/>
      <c r="B156" s="248" t="s">
        <v>341</v>
      </c>
      <c r="C156" s="261" t="s">
        <v>342</v>
      </c>
      <c r="D156" s="519" t="s">
        <v>544</v>
      </c>
      <c r="E156" s="519" t="s">
        <v>559</v>
      </c>
      <c r="F156" s="568"/>
      <c r="G156" s="569"/>
      <c r="H156" s="234">
        <v>0.24</v>
      </c>
      <c r="I156" s="569"/>
      <c r="J156" s="210">
        <v>2015</v>
      </c>
      <c r="K156" s="210">
        <v>2015</v>
      </c>
      <c r="L156" s="251" t="s">
        <v>379</v>
      </c>
      <c r="M156" s="251" t="s">
        <v>379</v>
      </c>
      <c r="N156" s="568" t="s">
        <v>379</v>
      </c>
      <c r="O156" s="568" t="s">
        <v>379</v>
      </c>
      <c r="P156" s="568">
        <v>0</v>
      </c>
      <c r="Q156" s="568">
        <v>0</v>
      </c>
      <c r="R156" s="570">
        <f>'приложение 1.1'!I156</f>
        <v>0.85</v>
      </c>
      <c r="S156" s="571"/>
      <c r="T156" s="221">
        <v>0.85</v>
      </c>
      <c r="U156" s="569"/>
      <c r="V156" s="541" t="s">
        <v>546</v>
      </c>
      <c r="W156" s="207" t="s">
        <v>555</v>
      </c>
      <c r="X156" s="207" t="s">
        <v>556</v>
      </c>
      <c r="Y156" s="570">
        <f>'[2]2.2.1.7.'!$F$21/1000000</f>
        <v>0.14087147920281093</v>
      </c>
      <c r="Z156" s="572">
        <f>'[2]2.2.1.7.'!$L$86</f>
        <v>0.05617123242008848</v>
      </c>
      <c r="AA156" s="573">
        <f>'[2]2.2.1.7.'!$F$19</f>
        <v>8.824695441329755</v>
      </c>
      <c r="AB156" s="574">
        <f>'[2]2.2.1.7.'!$F$20</f>
        <v>9.484889607561428</v>
      </c>
    </row>
    <row r="157" spans="1:28" s="575" customFormat="1" ht="105">
      <c r="A157" s="567"/>
      <c r="B157" s="248" t="s">
        <v>343</v>
      </c>
      <c r="C157" s="256" t="s">
        <v>344</v>
      </c>
      <c r="D157" s="519" t="s">
        <v>544</v>
      </c>
      <c r="E157" s="519" t="s">
        <v>589</v>
      </c>
      <c r="F157" s="568"/>
      <c r="G157" s="569"/>
      <c r="H157" s="234">
        <v>0.34</v>
      </c>
      <c r="I157" s="569"/>
      <c r="J157" s="210">
        <v>2015</v>
      </c>
      <c r="K157" s="210">
        <v>2015</v>
      </c>
      <c r="L157" s="251" t="s">
        <v>379</v>
      </c>
      <c r="M157" s="251" t="s">
        <v>379</v>
      </c>
      <c r="N157" s="568" t="s">
        <v>379</v>
      </c>
      <c r="O157" s="568" t="s">
        <v>379</v>
      </c>
      <c r="P157" s="568">
        <v>0</v>
      </c>
      <c r="Q157" s="568">
        <v>0</v>
      </c>
      <c r="R157" s="570">
        <f>'приложение 1.1'!I157</f>
        <v>0.24</v>
      </c>
      <c r="S157" s="571"/>
      <c r="T157" s="221">
        <v>0.24</v>
      </c>
      <c r="U157" s="569"/>
      <c r="V157" s="541" t="s">
        <v>590</v>
      </c>
      <c r="W157" s="524" t="s">
        <v>591</v>
      </c>
      <c r="X157" s="266" t="s">
        <v>592</v>
      </c>
      <c r="Y157" s="570">
        <f>'[2]2.2.1.8.'!$F$21/1000000</f>
        <v>0.00766488670393965</v>
      </c>
      <c r="Z157" s="572">
        <f>'[2]2.2.1.8.'!$L$86</f>
        <v>0.03868942004141762</v>
      </c>
      <c r="AA157" s="573">
        <f>'[2]2.2.1.8.'!$F$19</f>
        <v>9.15890347149151</v>
      </c>
      <c r="AB157" s="574">
        <f>'[2]2.2.1.8.'!$F$20</f>
        <v>9.886460638877693</v>
      </c>
    </row>
    <row r="158" spans="1:28" s="575" customFormat="1" ht="120">
      <c r="A158" s="567"/>
      <c r="B158" s="248" t="s">
        <v>345</v>
      </c>
      <c r="C158" s="262" t="s">
        <v>346</v>
      </c>
      <c r="D158" s="519" t="s">
        <v>544</v>
      </c>
      <c r="E158" s="519" t="s">
        <v>563</v>
      </c>
      <c r="F158" s="568"/>
      <c r="G158" s="569"/>
      <c r="H158" s="209">
        <v>0.46</v>
      </c>
      <c r="I158" s="569"/>
      <c r="J158" s="210">
        <v>2015</v>
      </c>
      <c r="K158" s="210">
        <v>2015</v>
      </c>
      <c r="L158" s="251" t="s">
        <v>379</v>
      </c>
      <c r="M158" s="251" t="s">
        <v>379</v>
      </c>
      <c r="N158" s="568" t="s">
        <v>379</v>
      </c>
      <c r="O158" s="568" t="s">
        <v>379</v>
      </c>
      <c r="P158" s="568">
        <v>0</v>
      </c>
      <c r="Q158" s="568">
        <v>0</v>
      </c>
      <c r="R158" s="570">
        <f>'приложение 1.1'!I158</f>
        <v>0.35</v>
      </c>
      <c r="S158" s="571"/>
      <c r="T158" s="211">
        <f>(0.27+0.03)*1.18</f>
        <v>0.35400000000000004</v>
      </c>
      <c r="U158" s="569"/>
      <c r="V158" s="541" t="s">
        <v>546</v>
      </c>
      <c r="W158" s="207" t="s">
        <v>555</v>
      </c>
      <c r="X158" s="207" t="s">
        <v>556</v>
      </c>
      <c r="Y158" s="570">
        <f>'[2]2.2.1.9.'!$F$21/1000000</f>
        <v>0.0579875478792339</v>
      </c>
      <c r="Z158" s="572">
        <f>'[2]2.2.1.9.'!$L$86</f>
        <v>0.05616465618878497</v>
      </c>
      <c r="AA158" s="573">
        <f>'[2]2.2.1.9.'!$F$19</f>
        <v>8.824843036234148</v>
      </c>
      <c r="AB158" s="574">
        <f>'[2]2.2.1.9.'!$F$20</f>
        <v>9.485026922584398</v>
      </c>
    </row>
    <row r="159" spans="1:28" s="575" customFormat="1" ht="120">
      <c r="A159" s="567"/>
      <c r="B159" s="248" t="s">
        <v>347</v>
      </c>
      <c r="C159" s="263" t="s">
        <v>348</v>
      </c>
      <c r="D159" s="519" t="s">
        <v>544</v>
      </c>
      <c r="E159" s="519" t="s">
        <v>557</v>
      </c>
      <c r="F159" s="568"/>
      <c r="G159" s="569"/>
      <c r="H159" s="251">
        <v>0.18</v>
      </c>
      <c r="I159" s="569"/>
      <c r="J159" s="234">
        <v>2015</v>
      </c>
      <c r="K159" s="234">
        <v>2015</v>
      </c>
      <c r="L159" s="251" t="s">
        <v>379</v>
      </c>
      <c r="M159" s="251" t="s">
        <v>379</v>
      </c>
      <c r="N159" s="568" t="s">
        <v>379</v>
      </c>
      <c r="O159" s="568" t="s">
        <v>379</v>
      </c>
      <c r="P159" s="568">
        <v>0</v>
      </c>
      <c r="Q159" s="568">
        <v>0</v>
      </c>
      <c r="R159" s="570">
        <f>'приложение 1.1'!I159</f>
        <v>0.22</v>
      </c>
      <c r="S159" s="571"/>
      <c r="T159" s="212">
        <f>(0.17+0.02)*1.18</f>
        <v>0.22419999999999998</v>
      </c>
      <c r="U159" s="569"/>
      <c r="V159" s="541" t="s">
        <v>546</v>
      </c>
      <c r="W159" s="207" t="s">
        <v>555</v>
      </c>
      <c r="X159" s="207" t="s">
        <v>556</v>
      </c>
      <c r="Y159" s="570">
        <f>'[2]2.2.1.10.'!$F$21/1000000</f>
        <v>0.03646874706980481</v>
      </c>
      <c r="Z159" s="572">
        <f>'[2]2.2.1.10.'!$L$86</f>
        <v>0.05617571118421205</v>
      </c>
      <c r="AA159" s="573">
        <f>'[2]2.2.1.10.'!$F$19</f>
        <v>8.82459488457758</v>
      </c>
      <c r="AB159" s="574">
        <f>'[2]2.2.1.10.'!$F$20</f>
        <v>9.484796072376026</v>
      </c>
    </row>
    <row r="160" spans="1:28" s="575" customFormat="1" ht="120">
      <c r="A160" s="567"/>
      <c r="B160" s="248" t="s">
        <v>349</v>
      </c>
      <c r="C160" s="262" t="s">
        <v>350</v>
      </c>
      <c r="D160" s="519" t="s">
        <v>544</v>
      </c>
      <c r="E160" s="519" t="s">
        <v>597</v>
      </c>
      <c r="F160" s="568"/>
      <c r="G160" s="569"/>
      <c r="H160" s="209">
        <v>0.16</v>
      </c>
      <c r="I160" s="569"/>
      <c r="J160" s="210">
        <v>2015</v>
      </c>
      <c r="K160" s="210">
        <v>2015</v>
      </c>
      <c r="L160" s="251" t="s">
        <v>379</v>
      </c>
      <c r="M160" s="251" t="s">
        <v>379</v>
      </c>
      <c r="N160" s="568" t="s">
        <v>379</v>
      </c>
      <c r="O160" s="568" t="s">
        <v>379</v>
      </c>
      <c r="P160" s="568">
        <v>0</v>
      </c>
      <c r="Q160" s="568">
        <v>0</v>
      </c>
      <c r="R160" s="570">
        <f>'приложение 1.1'!I160</f>
        <v>0.22</v>
      </c>
      <c r="S160" s="571"/>
      <c r="T160" s="212">
        <f>(0.17+0.02)*1.18</f>
        <v>0.22419999999999998</v>
      </c>
      <c r="U160" s="569"/>
      <c r="V160" s="541" t="s">
        <v>546</v>
      </c>
      <c r="W160" s="207" t="s">
        <v>555</v>
      </c>
      <c r="X160" s="207" t="s">
        <v>556</v>
      </c>
      <c r="Y160" s="570">
        <f>'[2]2.2.1.11.'!$F$21/1000000</f>
        <v>0.03646874706980481</v>
      </c>
      <c r="Z160" s="572">
        <f>'[2]2.2.1.11.'!$L$86</f>
        <v>0.05617571118421205</v>
      </c>
      <c r="AA160" s="573">
        <f>'[2]2.2.1.11.'!$F$19</f>
        <v>8.82459488457758</v>
      </c>
      <c r="AB160" s="574">
        <f>'[2]2.2.1.11.'!$F$20</f>
        <v>9.484796072376026</v>
      </c>
    </row>
    <row r="161" spans="1:28" s="575" customFormat="1" ht="120">
      <c r="A161" s="567"/>
      <c r="B161" s="248" t="s">
        <v>351</v>
      </c>
      <c r="C161" s="265" t="s">
        <v>352</v>
      </c>
      <c r="D161" s="210" t="s">
        <v>544</v>
      </c>
      <c r="E161" s="210" t="s">
        <v>578</v>
      </c>
      <c r="F161" s="568"/>
      <c r="G161" s="569"/>
      <c r="H161" s="209">
        <v>1</v>
      </c>
      <c r="I161" s="569"/>
      <c r="J161" s="210">
        <v>2015</v>
      </c>
      <c r="K161" s="210">
        <v>2015</v>
      </c>
      <c r="L161" s="251" t="s">
        <v>379</v>
      </c>
      <c r="M161" s="251" t="s">
        <v>379</v>
      </c>
      <c r="N161" s="568" t="s">
        <v>379</v>
      </c>
      <c r="O161" s="568" t="s">
        <v>379</v>
      </c>
      <c r="P161" s="568">
        <v>0</v>
      </c>
      <c r="Q161" s="568">
        <v>0</v>
      </c>
      <c r="R161" s="570">
        <f>'приложение 1.1'!I161</f>
        <v>0.66</v>
      </c>
      <c r="S161" s="571"/>
      <c r="T161" s="211">
        <f>(0.51+0.05)*1.18</f>
        <v>0.6608</v>
      </c>
      <c r="U161" s="569"/>
      <c r="V161" s="541" t="s">
        <v>546</v>
      </c>
      <c r="W161" s="207" t="s">
        <v>555</v>
      </c>
      <c r="X161" s="207" t="s">
        <v>556</v>
      </c>
      <c r="Y161" s="570">
        <f>'[2]2.2.1.12.'!$F$21/1000000</f>
        <v>0.10937552007380419</v>
      </c>
      <c r="Z161" s="572">
        <f>'[2]2.2.1.12.'!$L$86</f>
        <v>0.05616989272945827</v>
      </c>
      <c r="AA161" s="573">
        <f>'[2]2.2.1.12.'!$F$19</f>
        <v>8.824725516384392</v>
      </c>
      <c r="AB161" s="574">
        <f>'[2]2.2.1.12.'!$F$20</f>
        <v>9.484917584573745</v>
      </c>
    </row>
    <row r="162" spans="1:28" s="575" customFormat="1" ht="120">
      <c r="A162" s="567"/>
      <c r="B162" s="248" t="s">
        <v>353</v>
      </c>
      <c r="C162" s="265" t="s">
        <v>354</v>
      </c>
      <c r="D162" s="210" t="s">
        <v>544</v>
      </c>
      <c r="E162" s="210" t="s">
        <v>578</v>
      </c>
      <c r="F162" s="568"/>
      <c r="G162" s="569"/>
      <c r="H162" s="209">
        <v>0.5</v>
      </c>
      <c r="I162" s="569"/>
      <c r="J162" s="210">
        <v>2015</v>
      </c>
      <c r="K162" s="210">
        <v>2015</v>
      </c>
      <c r="L162" s="251" t="s">
        <v>379</v>
      </c>
      <c r="M162" s="251" t="s">
        <v>379</v>
      </c>
      <c r="N162" s="568" t="s">
        <v>379</v>
      </c>
      <c r="O162" s="568" t="s">
        <v>379</v>
      </c>
      <c r="P162" s="568">
        <v>0</v>
      </c>
      <c r="Q162" s="568">
        <v>0</v>
      </c>
      <c r="R162" s="570">
        <f>'приложение 1.1'!I162</f>
        <v>0.28</v>
      </c>
      <c r="S162" s="571"/>
      <c r="T162" s="211">
        <f>(0.22+0.02)*1.18</f>
        <v>0.28319999999999995</v>
      </c>
      <c r="U162" s="569"/>
      <c r="V162" s="541" t="s">
        <v>546</v>
      </c>
      <c r="W162" s="207" t="s">
        <v>555</v>
      </c>
      <c r="X162" s="207" t="s">
        <v>556</v>
      </c>
      <c r="Y162" s="570">
        <f>'[2]2.2.1.13.'!$F$21/1000000</f>
        <v>0.04641538425377221</v>
      </c>
      <c r="Z162" s="572">
        <f>'[2]2.2.1.13.'!$L$86</f>
        <v>0.05617603754950706</v>
      </c>
      <c r="AA162" s="573">
        <f>'[2]2.2.1.13.'!$F$19</f>
        <v>8.824587545897222</v>
      </c>
      <c r="AB162" s="574">
        <f>'[2]2.2.1.13.'!$F$20</f>
        <v>9.484789250267866</v>
      </c>
    </row>
    <row r="163" spans="2:28" ht="15.75">
      <c r="B163" s="270" t="s">
        <v>355</v>
      </c>
      <c r="C163" s="271" t="s">
        <v>356</v>
      </c>
      <c r="D163" s="542"/>
      <c r="E163" s="542"/>
      <c r="F163" s="543"/>
      <c r="G163" s="544"/>
      <c r="H163" s="566">
        <f>SUM(H164:H169)</f>
        <v>8.209999999999999</v>
      </c>
      <c r="I163" s="544"/>
      <c r="J163" s="278"/>
      <c r="K163" s="278"/>
      <c r="L163" s="278"/>
      <c r="M163" s="278"/>
      <c r="N163" s="543"/>
      <c r="O163" s="543"/>
      <c r="P163" s="543">
        <f>SUM(P164:P168)</f>
        <v>0</v>
      </c>
      <c r="Q163" s="543">
        <f>SUM(Q164:Q168)</f>
        <v>0</v>
      </c>
      <c r="R163" s="566">
        <f>SUM(R164:R169)</f>
        <v>14.439999999999998</v>
      </c>
      <c r="S163" s="544"/>
      <c r="T163" s="566">
        <f>SUM(T164:T169)</f>
        <v>14.434999999999999</v>
      </c>
      <c r="U163" s="544"/>
      <c r="V163" s="547"/>
      <c r="W163" s="547"/>
      <c r="X163" s="547"/>
      <c r="Y163" s="543"/>
      <c r="Z163" s="544"/>
      <c r="AA163" s="544"/>
      <c r="AB163" s="548"/>
    </row>
    <row r="164" spans="2:28" ht="90">
      <c r="B164" s="252" t="s">
        <v>357</v>
      </c>
      <c r="C164" s="260" t="s">
        <v>358</v>
      </c>
      <c r="D164" s="519" t="s">
        <v>544</v>
      </c>
      <c r="E164" s="519" t="s">
        <v>598</v>
      </c>
      <c r="F164" s="549"/>
      <c r="G164" s="536"/>
      <c r="H164" s="522">
        <v>2.05</v>
      </c>
      <c r="I164" s="520"/>
      <c r="J164" s="251">
        <v>2014</v>
      </c>
      <c r="K164" s="251">
        <v>2014</v>
      </c>
      <c r="L164" s="234" t="s">
        <v>379</v>
      </c>
      <c r="M164" s="234" t="s">
        <v>379</v>
      </c>
      <c r="N164" s="173" t="s">
        <v>379</v>
      </c>
      <c r="O164" s="173" t="s">
        <v>379</v>
      </c>
      <c r="P164" s="519">
        <v>0</v>
      </c>
      <c r="Q164" s="519">
        <v>0</v>
      </c>
      <c r="R164" s="570">
        <f>'приложение 1.1'!I164</f>
        <v>3.9</v>
      </c>
      <c r="S164" s="576"/>
      <c r="T164" s="570">
        <v>3.895</v>
      </c>
      <c r="U164" s="536"/>
      <c r="V164" s="266" t="s">
        <v>599</v>
      </c>
      <c r="W164" s="524" t="s">
        <v>591</v>
      </c>
      <c r="X164" s="266" t="s">
        <v>600</v>
      </c>
      <c r="Y164" s="558">
        <f>'[2]2.2.2.1.'!$F$21/1000000</f>
        <v>0.05492720712899556</v>
      </c>
      <c r="Z164" s="564">
        <f>'[2]2.2.2.1.'!$L$86</f>
        <v>0.0362370900729756</v>
      </c>
      <c r="AA164" s="557">
        <f>'[2]2.2.2.1.'!$F$19</f>
        <v>9.207681135661309</v>
      </c>
      <c r="AB164" s="565">
        <f>'[2]2.2.2.1.'!$F$20</f>
        <v>9.949605124163284</v>
      </c>
    </row>
    <row r="165" spans="2:28" ht="90">
      <c r="B165" s="252" t="s">
        <v>359</v>
      </c>
      <c r="C165" s="260" t="s">
        <v>360</v>
      </c>
      <c r="D165" s="519" t="s">
        <v>544</v>
      </c>
      <c r="E165" s="519" t="s">
        <v>598</v>
      </c>
      <c r="F165" s="549"/>
      <c r="G165" s="536"/>
      <c r="H165" s="251">
        <v>0.45</v>
      </c>
      <c r="I165" s="520"/>
      <c r="J165" s="251">
        <v>2015</v>
      </c>
      <c r="K165" s="251">
        <v>2015</v>
      </c>
      <c r="L165" s="234" t="s">
        <v>379</v>
      </c>
      <c r="M165" s="234" t="s">
        <v>379</v>
      </c>
      <c r="N165" s="173" t="s">
        <v>379</v>
      </c>
      <c r="O165" s="173" t="s">
        <v>379</v>
      </c>
      <c r="P165" s="519">
        <v>0</v>
      </c>
      <c r="Q165" s="519">
        <v>0</v>
      </c>
      <c r="R165" s="570">
        <v>0.62</v>
      </c>
      <c r="S165" s="576"/>
      <c r="T165" s="570">
        <f>R165</f>
        <v>0.62</v>
      </c>
      <c r="U165" s="536"/>
      <c r="V165" s="266" t="s">
        <v>599</v>
      </c>
      <c r="W165" s="524" t="s">
        <v>591</v>
      </c>
      <c r="X165" s="266" t="s">
        <v>600</v>
      </c>
      <c r="Y165" s="558">
        <f>'[2]2.2.2.2.'!$F$21/1000000</f>
        <v>0.008736934037157713</v>
      </c>
      <c r="Z165" s="564">
        <f>'[2]2.2.2.2.'!$L$86</f>
        <v>0.03623817489401193</v>
      </c>
      <c r="AA165" s="557">
        <f>'[2]2.2.2.2.'!$F$19</f>
        <v>9.207662054312992</v>
      </c>
      <c r="AB165" s="565">
        <f>'[2]2.2.2.2.'!$F$20</f>
        <v>9.94957720544062</v>
      </c>
    </row>
    <row r="166" spans="2:28" ht="105">
      <c r="B166" s="252" t="s">
        <v>361</v>
      </c>
      <c r="C166" s="256" t="s">
        <v>362</v>
      </c>
      <c r="D166" s="519" t="s">
        <v>544</v>
      </c>
      <c r="E166" s="519" t="s">
        <v>559</v>
      </c>
      <c r="F166" s="549"/>
      <c r="G166" s="536"/>
      <c r="H166" s="522">
        <v>1.76</v>
      </c>
      <c r="I166" s="520"/>
      <c r="J166" s="251">
        <v>2015</v>
      </c>
      <c r="K166" s="251">
        <v>2015</v>
      </c>
      <c r="L166" s="234" t="s">
        <v>379</v>
      </c>
      <c r="M166" s="234" t="s">
        <v>379</v>
      </c>
      <c r="N166" s="173" t="s">
        <v>379</v>
      </c>
      <c r="O166" s="173" t="s">
        <v>379</v>
      </c>
      <c r="P166" s="519">
        <v>0</v>
      </c>
      <c r="Q166" s="519">
        <v>0</v>
      </c>
      <c r="R166" s="570">
        <f>'приложение 1.1'!I166</f>
        <v>2.02</v>
      </c>
      <c r="S166" s="576"/>
      <c r="T166" s="570">
        <f>R166</f>
        <v>2.02</v>
      </c>
      <c r="U166" s="536"/>
      <c r="V166" s="541" t="s">
        <v>590</v>
      </c>
      <c r="W166" s="524" t="s">
        <v>591</v>
      </c>
      <c r="X166" s="266" t="s">
        <v>592</v>
      </c>
      <c r="Y166" s="558">
        <f>'[2]2.2.2.3.'!$F$21/1000000</f>
        <v>0.028441402743294136</v>
      </c>
      <c r="Z166" s="564">
        <f>'[2]2.2.2.3.'!$L$86</f>
        <v>0.03623654336977222</v>
      </c>
      <c r="AA166" s="557">
        <f>'[2]2.2.2.3.'!$F$19</f>
        <v>9.207690757553761</v>
      </c>
      <c r="AB166" s="565">
        <f>'[2]2.2.2.3.'!$F$20</f>
        <v>9.949619194479963</v>
      </c>
    </row>
    <row r="167" spans="2:28" ht="105">
      <c r="B167" s="252" t="s">
        <v>363</v>
      </c>
      <c r="C167" s="256" t="s">
        <v>364</v>
      </c>
      <c r="D167" s="519" t="s">
        <v>544</v>
      </c>
      <c r="E167" s="519" t="s">
        <v>559</v>
      </c>
      <c r="F167" s="549"/>
      <c r="G167" s="536"/>
      <c r="H167" s="522">
        <v>1.8</v>
      </c>
      <c r="I167" s="520"/>
      <c r="J167" s="251">
        <v>2015</v>
      </c>
      <c r="K167" s="251">
        <v>2015</v>
      </c>
      <c r="L167" s="234" t="s">
        <v>379</v>
      </c>
      <c r="M167" s="234" t="s">
        <v>379</v>
      </c>
      <c r="N167" s="173" t="s">
        <v>379</v>
      </c>
      <c r="O167" s="173" t="s">
        <v>379</v>
      </c>
      <c r="P167" s="519">
        <v>0</v>
      </c>
      <c r="Q167" s="519">
        <v>0</v>
      </c>
      <c r="R167" s="570">
        <f>'приложение 1.1'!I167</f>
        <v>2.38</v>
      </c>
      <c r="S167" s="576"/>
      <c r="T167" s="570">
        <f>R167</f>
        <v>2.38</v>
      </c>
      <c r="U167" s="536"/>
      <c r="V167" s="541" t="s">
        <v>590</v>
      </c>
      <c r="W167" s="524" t="s">
        <v>591</v>
      </c>
      <c r="X167" s="266" t="s">
        <v>592</v>
      </c>
      <c r="Y167" s="558">
        <f>'[2]2.2.2.4.'!$F$21/1000000</f>
        <v>0.03351232531345379</v>
      </c>
      <c r="Z167" s="564">
        <f>'[2]2.2.2.3.'!$L$86</f>
        <v>0.03623654336977222</v>
      </c>
      <c r="AA167" s="557">
        <f>'[2]2.2.2.3.'!$F$19</f>
        <v>9.207690757553761</v>
      </c>
      <c r="AB167" s="565">
        <f>'[2]2.2.2.3.'!$F$20</f>
        <v>9.949619194479963</v>
      </c>
    </row>
    <row r="168" spans="2:28" ht="105">
      <c r="B168" s="248" t="s">
        <v>365</v>
      </c>
      <c r="C168" s="256" t="s">
        <v>366</v>
      </c>
      <c r="D168" s="519" t="s">
        <v>544</v>
      </c>
      <c r="E168" s="519" t="s">
        <v>588</v>
      </c>
      <c r="F168" s="549"/>
      <c r="G168" s="536"/>
      <c r="H168" s="522">
        <v>1.37</v>
      </c>
      <c r="I168" s="520"/>
      <c r="J168" s="251">
        <v>2015</v>
      </c>
      <c r="K168" s="251">
        <v>2015</v>
      </c>
      <c r="L168" s="234" t="s">
        <v>379</v>
      </c>
      <c r="M168" s="234" t="s">
        <v>379</v>
      </c>
      <c r="N168" s="173" t="s">
        <v>379</v>
      </c>
      <c r="O168" s="173" t="s">
        <v>379</v>
      </c>
      <c r="P168" s="519">
        <v>0</v>
      </c>
      <c r="Q168" s="519">
        <v>0</v>
      </c>
      <c r="R168" s="570">
        <f>'приложение 1.1'!I168</f>
        <v>3.86</v>
      </c>
      <c r="S168" s="576"/>
      <c r="T168" s="570">
        <f>R168</f>
        <v>3.86</v>
      </c>
      <c r="U168" s="536"/>
      <c r="V168" s="541" t="s">
        <v>590</v>
      </c>
      <c r="W168" s="524" t="s">
        <v>591</v>
      </c>
      <c r="X168" s="266" t="s">
        <v>592</v>
      </c>
      <c r="Y168" s="558">
        <f>'[2]2.2.2.5.'!$F$21/1000000</f>
        <v>0.05437848528650426</v>
      </c>
      <c r="Z168" s="564">
        <f>'[2]2.2.2.5.'!$L$86</f>
        <v>0.036237609534657045</v>
      </c>
      <c r="AA168" s="557">
        <f>'[2]2.2.2.5.'!$F$19</f>
        <v>9.207671998718103</v>
      </c>
      <c r="AB168" s="565">
        <f>'[2]2.2.2.5.'!$F$20</f>
        <v>9.949591755372554</v>
      </c>
    </row>
    <row r="169" spans="2:28" ht="105">
      <c r="B169" s="248" t="s">
        <v>367</v>
      </c>
      <c r="C169" s="256" t="s">
        <v>368</v>
      </c>
      <c r="D169" s="519" t="s">
        <v>544</v>
      </c>
      <c r="E169" s="519" t="s">
        <v>588</v>
      </c>
      <c r="F169" s="549"/>
      <c r="G169" s="536"/>
      <c r="H169" s="522">
        <v>0.78</v>
      </c>
      <c r="I169" s="520"/>
      <c r="J169" s="251">
        <v>2016</v>
      </c>
      <c r="K169" s="251">
        <v>2016</v>
      </c>
      <c r="L169" s="234" t="s">
        <v>379</v>
      </c>
      <c r="M169" s="234" t="s">
        <v>379</v>
      </c>
      <c r="N169" s="173" t="s">
        <v>379</v>
      </c>
      <c r="O169" s="173" t="s">
        <v>379</v>
      </c>
      <c r="P169" s="519">
        <v>0</v>
      </c>
      <c r="Q169" s="519">
        <v>0</v>
      </c>
      <c r="R169" s="570">
        <f>'приложение 1.1'!I169</f>
        <v>1.66</v>
      </c>
      <c r="S169" s="576"/>
      <c r="T169" s="570">
        <f>R169</f>
        <v>1.66</v>
      </c>
      <c r="U169" s="536"/>
      <c r="V169" s="541" t="s">
        <v>590</v>
      </c>
      <c r="W169" s="524" t="s">
        <v>591</v>
      </c>
      <c r="X169" s="266" t="s">
        <v>592</v>
      </c>
      <c r="Y169" s="558">
        <f>'[2]2.2.2.6.'!$F$21/1000000</f>
        <v>0.02336939746716601</v>
      </c>
      <c r="Z169" s="564">
        <f>'[2]2.2.2.6.'!$L$86</f>
        <v>0.036236275171849686</v>
      </c>
      <c r="AA169" s="557">
        <f>'[2]2.2.2.6.'!$F$19</f>
        <v>9.207695476128594</v>
      </c>
      <c r="AB169" s="565">
        <f>'[2]2.2.2.6.'!$F$20</f>
        <v>9.9496260969254</v>
      </c>
    </row>
    <row r="170" spans="2:28" ht="15.75">
      <c r="B170" s="270" t="s">
        <v>370</v>
      </c>
      <c r="C170" s="271" t="s">
        <v>371</v>
      </c>
      <c r="D170" s="542"/>
      <c r="E170" s="542"/>
      <c r="F170" s="543">
        <f>SUM(F171)</f>
        <v>2</v>
      </c>
      <c r="G170" s="544"/>
      <c r="H170" s="543">
        <v>0</v>
      </c>
      <c r="I170" s="544"/>
      <c r="J170" s="278"/>
      <c r="K170" s="278"/>
      <c r="L170" s="278"/>
      <c r="M170" s="278"/>
      <c r="N170" s="543"/>
      <c r="O170" s="543"/>
      <c r="P170" s="543">
        <f>SUM(P171)</f>
        <v>0</v>
      </c>
      <c r="Q170" s="543">
        <f>SUM(Q171)</f>
        <v>0</v>
      </c>
      <c r="R170" s="560">
        <f>SUM(R171)</f>
        <v>2.714</v>
      </c>
      <c r="S170" s="561"/>
      <c r="T170" s="560">
        <f>SUM(T171)</f>
        <v>2.714</v>
      </c>
      <c r="U170" s="544"/>
      <c r="V170" s="547"/>
      <c r="W170" s="547"/>
      <c r="X170" s="547"/>
      <c r="Y170" s="543"/>
      <c r="Z170" s="544"/>
      <c r="AA170" s="544"/>
      <c r="AB170" s="548"/>
    </row>
    <row r="171" spans="2:28" ht="105">
      <c r="B171" s="273" t="s">
        <v>372</v>
      </c>
      <c r="C171" s="274" t="s">
        <v>373</v>
      </c>
      <c r="D171" s="519" t="s">
        <v>544</v>
      </c>
      <c r="E171" s="519" t="s">
        <v>601</v>
      </c>
      <c r="F171" s="549">
        <v>2</v>
      </c>
      <c r="G171" s="536"/>
      <c r="H171" s="209" t="s">
        <v>37</v>
      </c>
      <c r="I171" s="536"/>
      <c r="J171" s="251">
        <v>2015</v>
      </c>
      <c r="K171" s="251">
        <v>2015</v>
      </c>
      <c r="L171" s="234" t="s">
        <v>379</v>
      </c>
      <c r="M171" s="234" t="s">
        <v>379</v>
      </c>
      <c r="N171" s="173" t="s">
        <v>379</v>
      </c>
      <c r="O171" s="173" t="s">
        <v>379</v>
      </c>
      <c r="P171" s="519">
        <v>0</v>
      </c>
      <c r="Q171" s="519">
        <v>0</v>
      </c>
      <c r="R171" s="212">
        <f>(2.1+0.2)*1.18</f>
        <v>2.714</v>
      </c>
      <c r="S171" s="576"/>
      <c r="T171" s="212">
        <f>(2.1+0.2)*1.18</f>
        <v>2.714</v>
      </c>
      <c r="U171" s="536"/>
      <c r="V171" s="541" t="s">
        <v>590</v>
      </c>
      <c r="W171" s="541" t="s">
        <v>602</v>
      </c>
      <c r="X171" s="266" t="s">
        <v>592</v>
      </c>
      <c r="Y171" s="558">
        <f>'[2]2.2.3.1.'!$F$21/1000000</f>
        <v>1.952331284944905</v>
      </c>
      <c r="Z171" s="564">
        <f>'[2]2.2.3.1.'!$L$86</f>
        <v>0.11298306642330691</v>
      </c>
      <c r="AA171" s="557">
        <f>'[2]2.2.3.1.'!$F$19</f>
        <v>7.924290410950415</v>
      </c>
      <c r="AB171" s="565">
        <f>'[2]2.2.3.1.'!$F$20</f>
        <v>8.4656645005434</v>
      </c>
    </row>
    <row r="172" spans="2:28" ht="15.75">
      <c r="B172" s="270" t="s">
        <v>374</v>
      </c>
      <c r="C172" s="271" t="s">
        <v>375</v>
      </c>
      <c r="D172" s="542"/>
      <c r="E172" s="542"/>
      <c r="F172" s="543"/>
      <c r="G172" s="544"/>
      <c r="H172" s="543">
        <v>0</v>
      </c>
      <c r="I172" s="544"/>
      <c r="J172" s="278">
        <v>2014</v>
      </c>
      <c r="K172" s="278">
        <v>2014</v>
      </c>
      <c r="L172" s="278"/>
      <c r="M172" s="278"/>
      <c r="N172" s="543"/>
      <c r="O172" s="543"/>
      <c r="P172" s="543">
        <v>0</v>
      </c>
      <c r="Q172" s="543">
        <v>0</v>
      </c>
      <c r="R172" s="543">
        <v>3.03</v>
      </c>
      <c r="S172" s="544"/>
      <c r="T172" s="543">
        <v>3.03</v>
      </c>
      <c r="U172" s="544"/>
      <c r="V172" s="547"/>
      <c r="W172" s="547"/>
      <c r="X172" s="547"/>
      <c r="Y172" s="543"/>
      <c r="Z172" s="544"/>
      <c r="AA172" s="544"/>
      <c r="AB172" s="548"/>
    </row>
    <row r="173" spans="2:28" ht="45">
      <c r="B173" s="577" t="s">
        <v>376</v>
      </c>
      <c r="C173" s="578" t="s">
        <v>377</v>
      </c>
      <c r="D173" s="174"/>
      <c r="E173" s="174"/>
      <c r="F173" s="579"/>
      <c r="G173" s="580"/>
      <c r="H173" s="581"/>
      <c r="I173" s="580"/>
      <c r="J173" s="582">
        <v>2015</v>
      </c>
      <c r="K173" s="582">
        <v>2016</v>
      </c>
      <c r="L173" s="178"/>
      <c r="M173" s="178"/>
      <c r="N173" s="583"/>
      <c r="O173" s="583"/>
      <c r="P173" s="174"/>
      <c r="Q173" s="174"/>
      <c r="R173" s="584">
        <f>'приложение 1.1'!W173</f>
        <v>28.23</v>
      </c>
      <c r="S173" s="580"/>
      <c r="T173" s="584">
        <f>'приложение 1.1'!W173</f>
        <v>28.23</v>
      </c>
      <c r="U173" s="580"/>
      <c r="V173" s="585" t="s">
        <v>603</v>
      </c>
      <c r="W173" s="585" t="s">
        <v>604</v>
      </c>
      <c r="X173" s="585" t="s">
        <v>604</v>
      </c>
      <c r="Y173" s="579"/>
      <c r="Z173" s="580"/>
      <c r="AA173" s="580"/>
      <c r="AB173" s="586"/>
    </row>
    <row r="174" spans="2:28" ht="15.75">
      <c r="B174" s="587"/>
      <c r="C174" s="588"/>
      <c r="D174" s="589"/>
      <c r="E174" s="589"/>
      <c r="F174" s="589"/>
      <c r="G174" s="589"/>
      <c r="H174" s="589"/>
      <c r="I174" s="589"/>
      <c r="J174" s="589"/>
      <c r="K174" s="589"/>
      <c r="L174" s="589"/>
      <c r="M174" s="589"/>
      <c r="N174" s="589"/>
      <c r="O174" s="589"/>
      <c r="P174" s="589"/>
      <c r="Q174" s="589"/>
      <c r="R174" s="589"/>
      <c r="S174" s="589"/>
      <c r="T174" s="589"/>
      <c r="U174" s="589"/>
      <c r="V174" s="590"/>
      <c r="W174" s="590"/>
      <c r="X174" s="590"/>
      <c r="Y174" s="589"/>
      <c r="Z174" s="589"/>
      <c r="AA174" s="589"/>
      <c r="AB174" s="589"/>
    </row>
    <row r="175" spans="2:28" ht="12.75" customHeight="1">
      <c r="B175" s="587"/>
      <c r="C175" s="697" t="s">
        <v>605</v>
      </c>
      <c r="D175" s="697"/>
      <c r="E175" s="697"/>
      <c r="F175" s="697"/>
      <c r="G175" s="697"/>
      <c r="H175" s="697"/>
      <c r="I175" s="697"/>
      <c r="J175" s="697"/>
      <c r="K175" s="697"/>
      <c r="L175" s="591"/>
      <c r="M175" s="591"/>
      <c r="N175" s="591"/>
      <c r="O175" s="591"/>
      <c r="P175" s="591"/>
      <c r="Q175" s="591"/>
      <c r="R175" s="591"/>
      <c r="S175" s="591"/>
      <c r="T175" s="591"/>
      <c r="U175" s="591"/>
      <c r="V175" s="591"/>
      <c r="W175" s="591"/>
      <c r="X175" s="591"/>
      <c r="Y175" s="591"/>
      <c r="Z175" s="591"/>
      <c r="AA175" s="591"/>
      <c r="AB175" s="591"/>
    </row>
    <row r="176" spans="2:28" ht="15.75">
      <c r="B176" s="587"/>
      <c r="C176" s="589" t="s">
        <v>606</v>
      </c>
      <c r="D176" s="589"/>
      <c r="E176" s="589"/>
      <c r="F176" s="589"/>
      <c r="G176" s="589"/>
      <c r="H176" s="589"/>
      <c r="I176" s="589"/>
      <c r="J176" s="589"/>
      <c r="K176" s="589"/>
      <c r="L176" s="589"/>
      <c r="M176" s="589"/>
      <c r="N176" s="589"/>
      <c r="O176" s="589"/>
      <c r="P176" s="589"/>
      <c r="Q176" s="589"/>
      <c r="R176" s="589"/>
      <c r="S176" s="589"/>
      <c r="T176" s="589"/>
      <c r="U176" s="589"/>
      <c r="V176" s="590"/>
      <c r="W176" s="590"/>
      <c r="X176" s="590"/>
      <c r="Y176" s="589"/>
      <c r="Z176" s="589"/>
      <c r="AA176" s="589"/>
      <c r="AB176" s="589"/>
    </row>
    <row r="177" spans="2:28" ht="15.75">
      <c r="B177" s="587"/>
      <c r="C177" s="589" t="s">
        <v>607</v>
      </c>
      <c r="D177" s="589"/>
      <c r="E177" s="589"/>
      <c r="F177" s="589"/>
      <c r="G177" s="589"/>
      <c r="H177" s="589"/>
      <c r="I177" s="589"/>
      <c r="J177" s="589"/>
      <c r="K177" s="589"/>
      <c r="L177" s="589"/>
      <c r="M177" s="589"/>
      <c r="N177" s="589"/>
      <c r="O177" s="589"/>
      <c r="P177" s="589"/>
      <c r="Q177" s="589"/>
      <c r="R177" s="589"/>
      <c r="S177" s="589"/>
      <c r="T177" s="589"/>
      <c r="U177" s="589"/>
      <c r="V177" s="590"/>
      <c r="W177" s="590"/>
      <c r="X177" s="590"/>
      <c r="Y177" s="589"/>
      <c r="Z177" s="589"/>
      <c r="AA177" s="589"/>
      <c r="AB177" s="589"/>
    </row>
    <row r="178" spans="2:28" ht="15.75">
      <c r="B178" s="587"/>
      <c r="C178" s="589" t="s">
        <v>608</v>
      </c>
      <c r="D178" s="589"/>
      <c r="E178" s="589"/>
      <c r="F178" s="589"/>
      <c r="G178" s="589"/>
      <c r="H178" s="589"/>
      <c r="I178" s="589"/>
      <c r="J178" s="589"/>
      <c r="K178" s="589"/>
      <c r="L178" s="589"/>
      <c r="M178" s="589"/>
      <c r="N178" s="589"/>
      <c r="O178" s="589"/>
      <c r="P178" s="589"/>
      <c r="Q178" s="589"/>
      <c r="R178" s="589"/>
      <c r="S178" s="589"/>
      <c r="T178" s="589"/>
      <c r="U178" s="589"/>
      <c r="V178" s="590"/>
      <c r="W178" s="590"/>
      <c r="X178" s="590"/>
      <c r="Y178" s="589"/>
      <c r="Z178" s="589"/>
      <c r="AA178" s="589"/>
      <c r="AB178" s="589"/>
    </row>
  </sheetData>
  <sheetProtection selectLockedCells="1" selectUnlockedCells="1"/>
  <mergeCells count="39">
    <mergeCell ref="Y3:AB3"/>
    <mergeCell ref="Y4:AB4"/>
    <mergeCell ref="Z5:AB5"/>
    <mergeCell ref="B7:AB7"/>
    <mergeCell ref="Z11:AB11"/>
    <mergeCell ref="AA12:AB12"/>
    <mergeCell ref="B15:B17"/>
    <mergeCell ref="C15:C17"/>
    <mergeCell ref="D15:D17"/>
    <mergeCell ref="E15:E17"/>
    <mergeCell ref="F15:H15"/>
    <mergeCell ref="I15:I17"/>
    <mergeCell ref="J15:K15"/>
    <mergeCell ref="L15:O15"/>
    <mergeCell ref="P15:P17"/>
    <mergeCell ref="Q15:Q17"/>
    <mergeCell ref="R15:S15"/>
    <mergeCell ref="T15:U15"/>
    <mergeCell ref="U16:U17"/>
    <mergeCell ref="V15:X15"/>
    <mergeCell ref="Y15:AB15"/>
    <mergeCell ref="F16:F17"/>
    <mergeCell ref="G16:G17"/>
    <mergeCell ref="H16:H17"/>
    <mergeCell ref="J16:J17"/>
    <mergeCell ref="K16:K17"/>
    <mergeCell ref="L16:L17"/>
    <mergeCell ref="M16:M17"/>
    <mergeCell ref="N16:N17"/>
    <mergeCell ref="AA16:AB16"/>
    <mergeCell ref="C175:K175"/>
    <mergeCell ref="V16:V17"/>
    <mergeCell ref="W16:W17"/>
    <mergeCell ref="X16:X17"/>
    <mergeCell ref="Y16:Z16"/>
    <mergeCell ref="O16:O17"/>
    <mergeCell ref="R16:R17"/>
    <mergeCell ref="S16:S17"/>
    <mergeCell ref="T16:T17"/>
  </mergeCells>
  <printOptions/>
  <pageMargins left="0.7875" right="0.39375" top="0.39375" bottom="0.39375" header="0.5118055555555555" footer="0.5118055555555555"/>
  <pageSetup fitToHeight="0" fitToWidth="1" horizontalDpi="300" verticalDpi="3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L6056"/>
  <sheetViews>
    <sheetView zoomScale="66" zoomScaleNormal="66" zoomScaleSheetLayoutView="61" workbookViewId="0" topLeftCell="A1">
      <selection activeCell="A1" sqref="A1"/>
    </sheetView>
  </sheetViews>
  <sheetFormatPr defaultColWidth="9.00390625" defaultRowHeight="15.75"/>
  <cols>
    <col min="1" max="1" width="4.50390625" style="3" customWidth="1"/>
    <col min="2" max="2" width="36.375" style="3" customWidth="1"/>
    <col min="3" max="3" width="12.625" style="3" customWidth="1"/>
    <col min="4" max="4" width="12.875" style="3" customWidth="1"/>
    <col min="5" max="6" width="0" style="3" hidden="1" customWidth="1"/>
    <col min="7" max="7" width="13.00390625" style="3" customWidth="1"/>
    <col min="8" max="8" width="23.125" style="3" customWidth="1"/>
    <col min="9" max="12" width="9.00390625" style="3" customWidth="1"/>
    <col min="13" max="13" width="13.00390625" style="3" customWidth="1"/>
    <col min="14" max="16384" width="9.00390625" style="3" customWidth="1"/>
  </cols>
  <sheetData>
    <row r="1" ht="15.75">
      <c r="H1" s="11" t="s">
        <v>609</v>
      </c>
    </row>
    <row r="2" ht="15.75">
      <c r="H2" s="11" t="s">
        <v>610</v>
      </c>
    </row>
    <row r="3" ht="15.75">
      <c r="H3" s="11" t="s">
        <v>611</v>
      </c>
    </row>
    <row r="4" ht="15.75">
      <c r="H4" s="11"/>
    </row>
    <row r="5" spans="1:8" ht="18.75" customHeight="1">
      <c r="A5" s="713" t="s">
        <v>612</v>
      </c>
      <c r="B5" s="713"/>
      <c r="C5" s="713"/>
      <c r="D5" s="713"/>
      <c r="E5" s="713"/>
      <c r="F5" s="713"/>
      <c r="G5" s="713"/>
      <c r="H5" s="713"/>
    </row>
    <row r="6" spans="1:12" ht="20.25" customHeight="1">
      <c r="A6" s="713" t="s">
        <v>613</v>
      </c>
      <c r="B6" s="713"/>
      <c r="C6" s="713"/>
      <c r="D6" s="713"/>
      <c r="E6" s="713"/>
      <c r="F6" s="713"/>
      <c r="G6" s="713"/>
      <c r="H6" s="713"/>
      <c r="I6" s="593"/>
      <c r="J6" s="593"/>
      <c r="K6" s="593"/>
      <c r="L6" s="593"/>
    </row>
    <row r="7" spans="8:12" ht="15.75">
      <c r="H7" s="11" t="s">
        <v>43</v>
      </c>
      <c r="I7" s="593"/>
      <c r="J7" s="593"/>
      <c r="K7" s="593"/>
      <c r="L7" s="593"/>
    </row>
    <row r="8" ht="15.75">
      <c r="H8" s="11" t="s">
        <v>44</v>
      </c>
    </row>
    <row r="9" ht="15.75">
      <c r="H9" s="11" t="s">
        <v>45</v>
      </c>
    </row>
    <row r="10" ht="15.75">
      <c r="H10" s="594" t="s">
        <v>614</v>
      </c>
    </row>
    <row r="11" ht="15.75">
      <c r="H11" s="11" t="s">
        <v>615</v>
      </c>
    </row>
    <row r="12" ht="15.75">
      <c r="H12" s="11" t="s">
        <v>47</v>
      </c>
    </row>
    <row r="13" ht="15.75">
      <c r="A13" s="595"/>
    </row>
    <row r="14" spans="1:12" ht="15.75">
      <c r="A14" s="3" t="s">
        <v>616</v>
      </c>
      <c r="L14" s="596"/>
    </row>
    <row r="15" spans="1:12" ht="12.75" customHeight="1">
      <c r="A15" s="717" t="s">
        <v>0</v>
      </c>
      <c r="B15" s="714"/>
      <c r="C15" s="714"/>
      <c r="D15" s="714"/>
      <c r="E15" s="714"/>
      <c r="F15" s="714"/>
      <c r="G15" s="714"/>
      <c r="H15" s="714"/>
      <c r="L15" s="596"/>
    </row>
    <row r="16" spans="1:12" ht="15.75">
      <c r="A16" s="597"/>
      <c r="B16" s="597"/>
      <c r="C16" s="598"/>
      <c r="D16" s="598"/>
      <c r="E16" s="598"/>
      <c r="F16" s="598"/>
      <c r="G16" s="598"/>
      <c r="H16" s="598"/>
      <c r="I16" s="598"/>
      <c r="J16" s="598"/>
      <c r="L16" s="596"/>
    </row>
    <row r="17" spans="1:12" ht="12.75" customHeight="1">
      <c r="A17" s="708" t="s">
        <v>617</v>
      </c>
      <c r="B17" s="710" t="s">
        <v>618</v>
      </c>
      <c r="C17" s="711" t="s">
        <v>619</v>
      </c>
      <c r="D17" s="711"/>
      <c r="E17" s="711"/>
      <c r="F17" s="711"/>
      <c r="G17" s="712" t="s">
        <v>620</v>
      </c>
      <c r="H17" s="708" t="s">
        <v>621</v>
      </c>
      <c r="I17" s="598"/>
      <c r="J17" s="598"/>
      <c r="L17" s="596"/>
    </row>
    <row r="18" spans="1:8" ht="15.75">
      <c r="A18" s="708"/>
      <c r="B18" s="710"/>
      <c r="C18" s="711"/>
      <c r="D18" s="711"/>
      <c r="E18" s="711"/>
      <c r="F18" s="711"/>
      <c r="G18" s="712"/>
      <c r="H18" s="708"/>
    </row>
    <row r="19" spans="1:8" ht="31.5">
      <c r="A19" s="708"/>
      <c r="B19" s="710"/>
      <c r="C19" s="601" t="s">
        <v>622</v>
      </c>
      <c r="D19" s="601" t="s">
        <v>623</v>
      </c>
      <c r="E19" s="602" t="s">
        <v>622</v>
      </c>
      <c r="F19" s="603" t="s">
        <v>623</v>
      </c>
      <c r="G19" s="712"/>
      <c r="H19" s="708"/>
    </row>
    <row r="20" spans="1:8" ht="15.75">
      <c r="A20" s="599">
        <v>1</v>
      </c>
      <c r="B20" s="599">
        <v>2</v>
      </c>
      <c r="C20" s="604">
        <v>3</v>
      </c>
      <c r="D20" s="604">
        <v>4</v>
      </c>
      <c r="E20" s="605"/>
      <c r="F20" s="606"/>
      <c r="G20" s="600">
        <v>5</v>
      </c>
      <c r="H20" s="599">
        <v>6</v>
      </c>
    </row>
    <row r="21" spans="1:8" ht="12.75" customHeight="1">
      <c r="A21" s="607">
        <v>1</v>
      </c>
      <c r="B21" s="709" t="s">
        <v>624</v>
      </c>
      <c r="C21" s="709"/>
      <c r="D21" s="709"/>
      <c r="E21" s="709"/>
      <c r="F21" s="709"/>
      <c r="G21" s="709"/>
      <c r="H21" s="709"/>
    </row>
    <row r="22" spans="1:8" ht="15.75">
      <c r="A22" s="608" t="s">
        <v>74</v>
      </c>
      <c r="B22" s="609" t="s">
        <v>625</v>
      </c>
      <c r="C22" s="610" t="s">
        <v>379</v>
      </c>
      <c r="D22" s="610" t="s">
        <v>379</v>
      </c>
      <c r="E22" s="610" t="s">
        <v>379</v>
      </c>
      <c r="F22" s="610" t="s">
        <v>379</v>
      </c>
      <c r="G22" s="610" t="s">
        <v>379</v>
      </c>
      <c r="H22" s="611" t="s">
        <v>626</v>
      </c>
    </row>
    <row r="23" spans="1:8" ht="15.75">
      <c r="A23" s="608" t="s">
        <v>313</v>
      </c>
      <c r="B23" s="609" t="s">
        <v>627</v>
      </c>
      <c r="C23" s="610" t="s">
        <v>379</v>
      </c>
      <c r="D23" s="610" t="s">
        <v>379</v>
      </c>
      <c r="E23" s="610" t="s">
        <v>379</v>
      </c>
      <c r="F23" s="610" t="s">
        <v>379</v>
      </c>
      <c r="G23" s="610" t="s">
        <v>379</v>
      </c>
      <c r="H23" s="611" t="s">
        <v>626</v>
      </c>
    </row>
    <row r="24" spans="1:8" s="148" customFormat="1" ht="31.5">
      <c r="A24" s="608" t="s">
        <v>315</v>
      </c>
      <c r="B24" s="612" t="s">
        <v>628</v>
      </c>
      <c r="C24" s="610" t="s">
        <v>379</v>
      </c>
      <c r="D24" s="610" t="s">
        <v>379</v>
      </c>
      <c r="E24" s="610" t="s">
        <v>379</v>
      </c>
      <c r="F24" s="610" t="s">
        <v>379</v>
      </c>
      <c r="G24" s="610" t="s">
        <v>379</v>
      </c>
      <c r="H24" s="611" t="s">
        <v>626</v>
      </c>
    </row>
    <row r="25" spans="1:8" s="148" customFormat="1" ht="47.25">
      <c r="A25" s="608" t="s">
        <v>317</v>
      </c>
      <c r="B25" s="612" t="s">
        <v>629</v>
      </c>
      <c r="C25" s="610" t="s">
        <v>379</v>
      </c>
      <c r="D25" s="610" t="s">
        <v>379</v>
      </c>
      <c r="E25" s="610" t="s">
        <v>379</v>
      </c>
      <c r="F25" s="610" t="s">
        <v>379</v>
      </c>
      <c r="G25" s="610" t="s">
        <v>379</v>
      </c>
      <c r="H25" s="611" t="s">
        <v>626</v>
      </c>
    </row>
    <row r="26" spans="1:8" s="148" customFormat="1" ht="15.75">
      <c r="A26" s="608" t="s">
        <v>630</v>
      </c>
      <c r="B26" s="613" t="s">
        <v>631</v>
      </c>
      <c r="C26" s="610" t="s">
        <v>379</v>
      </c>
      <c r="D26" s="610" t="s">
        <v>379</v>
      </c>
      <c r="E26" s="610" t="s">
        <v>379</v>
      </c>
      <c r="F26" s="610" t="s">
        <v>379</v>
      </c>
      <c r="G26" s="610" t="s">
        <v>379</v>
      </c>
      <c r="H26" s="611" t="s">
        <v>626</v>
      </c>
    </row>
    <row r="27" spans="1:8" s="148" customFormat="1" ht="15.75">
      <c r="A27" s="608" t="s">
        <v>632</v>
      </c>
      <c r="B27" s="613" t="s">
        <v>633</v>
      </c>
      <c r="C27" s="610" t="s">
        <v>379</v>
      </c>
      <c r="D27" s="610" t="s">
        <v>379</v>
      </c>
      <c r="E27" s="610" t="s">
        <v>379</v>
      </c>
      <c r="F27" s="610" t="s">
        <v>379</v>
      </c>
      <c r="G27" s="610" t="s">
        <v>379</v>
      </c>
      <c r="H27" s="611" t="s">
        <v>626</v>
      </c>
    </row>
    <row r="28" spans="1:8" s="148" customFormat="1" ht="12.75" customHeight="1">
      <c r="A28" s="608">
        <v>2</v>
      </c>
      <c r="B28" s="706" t="s">
        <v>634</v>
      </c>
      <c r="C28" s="706"/>
      <c r="D28" s="706"/>
      <c r="E28" s="706"/>
      <c r="F28" s="706"/>
      <c r="G28" s="706"/>
      <c r="H28" s="706"/>
    </row>
    <row r="29" spans="1:8" s="148" customFormat="1" ht="31.5">
      <c r="A29" s="608" t="s">
        <v>321</v>
      </c>
      <c r="B29" s="612" t="s">
        <v>635</v>
      </c>
      <c r="C29" s="610" t="s">
        <v>636</v>
      </c>
      <c r="D29" s="610" t="s">
        <v>637</v>
      </c>
      <c r="E29" s="610" t="s">
        <v>379</v>
      </c>
      <c r="F29" s="610" t="s">
        <v>379</v>
      </c>
      <c r="G29" s="614">
        <v>0</v>
      </c>
      <c r="H29" s="611"/>
    </row>
    <row r="30" spans="1:8" s="148" customFormat="1" ht="47.25">
      <c r="A30" s="608" t="s">
        <v>325</v>
      </c>
      <c r="B30" s="612" t="s">
        <v>638</v>
      </c>
      <c r="C30" s="610" t="s">
        <v>379</v>
      </c>
      <c r="D30" s="610" t="s">
        <v>379</v>
      </c>
      <c r="E30" s="610" t="s">
        <v>379</v>
      </c>
      <c r="F30" s="610" t="s">
        <v>379</v>
      </c>
      <c r="G30" s="610" t="s">
        <v>379</v>
      </c>
      <c r="H30" s="611" t="s">
        <v>626</v>
      </c>
    </row>
    <row r="31" spans="1:8" s="148" customFormat="1" ht="31.5">
      <c r="A31" s="608" t="s">
        <v>639</v>
      </c>
      <c r="B31" s="612" t="s">
        <v>640</v>
      </c>
      <c r="C31" s="610" t="s">
        <v>379</v>
      </c>
      <c r="D31" s="610" t="s">
        <v>379</v>
      </c>
      <c r="E31" s="610" t="s">
        <v>379</v>
      </c>
      <c r="F31" s="610" t="s">
        <v>379</v>
      </c>
      <c r="G31" s="610" t="s">
        <v>379</v>
      </c>
      <c r="H31" s="611" t="s">
        <v>626</v>
      </c>
    </row>
    <row r="32" spans="1:8" s="148" customFormat="1" ht="12.75" customHeight="1">
      <c r="A32" s="608">
        <v>3</v>
      </c>
      <c r="B32" s="706" t="s">
        <v>641</v>
      </c>
      <c r="C32" s="706"/>
      <c r="D32" s="706"/>
      <c r="E32" s="706"/>
      <c r="F32" s="706"/>
      <c r="G32" s="706"/>
      <c r="H32" s="706"/>
    </row>
    <row r="33" spans="1:8" s="148" customFormat="1" ht="31.5">
      <c r="A33" s="608" t="s">
        <v>378</v>
      </c>
      <c r="B33" s="613" t="s">
        <v>642</v>
      </c>
      <c r="C33" s="610" t="s">
        <v>379</v>
      </c>
      <c r="D33" s="610" t="s">
        <v>379</v>
      </c>
      <c r="E33" s="610" t="s">
        <v>379</v>
      </c>
      <c r="F33" s="610" t="s">
        <v>379</v>
      </c>
      <c r="G33" s="610" t="s">
        <v>379</v>
      </c>
      <c r="H33" s="611" t="s">
        <v>626</v>
      </c>
    </row>
    <row r="34" spans="1:8" s="148" customFormat="1" ht="15.75">
      <c r="A34" s="608" t="s">
        <v>643</v>
      </c>
      <c r="B34" s="613" t="s">
        <v>644</v>
      </c>
      <c r="C34" s="610" t="s">
        <v>636</v>
      </c>
      <c r="D34" s="610" t="s">
        <v>645</v>
      </c>
      <c r="E34" s="610" t="s">
        <v>379</v>
      </c>
      <c r="F34" s="610" t="s">
        <v>379</v>
      </c>
      <c r="G34" s="614">
        <v>0</v>
      </c>
      <c r="H34" s="611"/>
    </row>
    <row r="35" spans="1:8" s="148" customFormat="1" ht="15.75">
      <c r="A35" s="608" t="s">
        <v>380</v>
      </c>
      <c r="B35" s="613" t="s">
        <v>646</v>
      </c>
      <c r="C35" s="610" t="s">
        <v>647</v>
      </c>
      <c r="D35" s="610" t="s">
        <v>648</v>
      </c>
      <c r="E35" s="610" t="s">
        <v>379</v>
      </c>
      <c r="F35" s="610" t="s">
        <v>379</v>
      </c>
      <c r="G35" s="614">
        <v>0</v>
      </c>
      <c r="H35" s="611"/>
    </row>
    <row r="36" spans="1:8" s="148" customFormat="1" ht="15.75">
      <c r="A36" s="608" t="s">
        <v>649</v>
      </c>
      <c r="B36" s="613" t="s">
        <v>650</v>
      </c>
      <c r="C36" s="610" t="s">
        <v>651</v>
      </c>
      <c r="D36" s="610" t="s">
        <v>652</v>
      </c>
      <c r="E36" s="610" t="s">
        <v>379</v>
      </c>
      <c r="F36" s="610" t="s">
        <v>379</v>
      </c>
      <c r="G36" s="614">
        <v>0</v>
      </c>
      <c r="H36" s="611"/>
    </row>
    <row r="37" spans="1:8" s="148" customFormat="1" ht="15.75">
      <c r="A37" s="608" t="s">
        <v>653</v>
      </c>
      <c r="B37" s="613" t="s">
        <v>654</v>
      </c>
      <c r="C37" s="610" t="s">
        <v>655</v>
      </c>
      <c r="D37" s="610" t="s">
        <v>637</v>
      </c>
      <c r="E37" s="610" t="s">
        <v>379</v>
      </c>
      <c r="F37" s="610" t="s">
        <v>379</v>
      </c>
      <c r="G37" s="614">
        <v>0</v>
      </c>
      <c r="H37" s="611"/>
    </row>
    <row r="38" spans="1:8" s="148" customFormat="1" ht="12.75" customHeight="1">
      <c r="A38" s="608">
        <v>4</v>
      </c>
      <c r="B38" s="706" t="s">
        <v>656</v>
      </c>
      <c r="C38" s="706"/>
      <c r="D38" s="706"/>
      <c r="E38" s="706"/>
      <c r="F38" s="706"/>
      <c r="G38" s="706"/>
      <c r="H38" s="706"/>
    </row>
    <row r="39" spans="1:8" s="148" customFormat="1" ht="31.5">
      <c r="A39" s="608" t="s">
        <v>657</v>
      </c>
      <c r="B39" s="612" t="s">
        <v>658</v>
      </c>
      <c r="C39" s="610" t="s">
        <v>379</v>
      </c>
      <c r="D39" s="610" t="s">
        <v>379</v>
      </c>
      <c r="E39" s="610" t="s">
        <v>379</v>
      </c>
      <c r="F39" s="610" t="s">
        <v>379</v>
      </c>
      <c r="G39" s="610" t="s">
        <v>379</v>
      </c>
      <c r="H39" s="611" t="s">
        <v>626</v>
      </c>
    </row>
    <row r="40" spans="1:8" s="148" customFormat="1" ht="47.25">
      <c r="A40" s="608" t="s">
        <v>659</v>
      </c>
      <c r="B40" s="612" t="s">
        <v>660</v>
      </c>
      <c r="C40" s="610" t="s">
        <v>379</v>
      </c>
      <c r="D40" s="610" t="s">
        <v>379</v>
      </c>
      <c r="E40" s="610" t="s">
        <v>379</v>
      </c>
      <c r="F40" s="610" t="s">
        <v>379</v>
      </c>
      <c r="G40" s="610" t="s">
        <v>379</v>
      </c>
      <c r="H40" s="611" t="s">
        <v>626</v>
      </c>
    </row>
    <row r="41" spans="1:8" s="148" customFormat="1" ht="31.5">
      <c r="A41" s="608" t="s">
        <v>661</v>
      </c>
      <c r="B41" s="613" t="s">
        <v>662</v>
      </c>
      <c r="C41" s="610" t="s">
        <v>379</v>
      </c>
      <c r="D41" s="610" t="s">
        <v>379</v>
      </c>
      <c r="E41" s="610" t="s">
        <v>379</v>
      </c>
      <c r="F41" s="610" t="s">
        <v>379</v>
      </c>
      <c r="G41" s="610" t="s">
        <v>379</v>
      </c>
      <c r="H41" s="611" t="s">
        <v>626</v>
      </c>
    </row>
    <row r="42" spans="1:8" s="148" customFormat="1" ht="31.5">
      <c r="A42" s="615" t="s">
        <v>663</v>
      </c>
      <c r="B42" s="616" t="s">
        <v>664</v>
      </c>
      <c r="C42" s="617" t="s">
        <v>379</v>
      </c>
      <c r="D42" s="617" t="s">
        <v>379</v>
      </c>
      <c r="E42" s="617" t="s">
        <v>379</v>
      </c>
      <c r="F42" s="617" t="s">
        <v>379</v>
      </c>
      <c r="G42" s="617" t="s">
        <v>379</v>
      </c>
      <c r="H42" s="618" t="s">
        <v>626</v>
      </c>
    </row>
    <row r="43" spans="1:7" s="148" customFormat="1" ht="15.75">
      <c r="A43" s="619"/>
      <c r="B43" s="620"/>
      <c r="C43" s="621"/>
      <c r="D43" s="621"/>
      <c r="E43" s="621"/>
      <c r="F43" s="621"/>
      <c r="G43" s="621"/>
    </row>
    <row r="44" spans="1:8" s="148" customFormat="1" ht="12.75" customHeight="1">
      <c r="A44" s="707" t="s">
        <v>665</v>
      </c>
      <c r="B44" s="707"/>
      <c r="C44" s="707"/>
      <c r="D44" s="707"/>
      <c r="E44" s="707"/>
      <c r="F44" s="707"/>
      <c r="G44" s="707"/>
      <c r="H44" s="707"/>
    </row>
    <row r="45" spans="1:8" s="148" customFormat="1" ht="15.75">
      <c r="A45" s="3"/>
      <c r="B45" s="3"/>
      <c r="C45" s="3"/>
      <c r="D45" s="3"/>
      <c r="E45" s="3"/>
      <c r="F45" s="3"/>
      <c r="G45" s="3"/>
      <c r="H45" s="3"/>
    </row>
    <row r="46" spans="1:8" s="148" customFormat="1" ht="15.75">
      <c r="A46" s="3"/>
      <c r="B46" s="3"/>
      <c r="C46" s="3"/>
      <c r="D46" s="3"/>
      <c r="E46" s="3"/>
      <c r="F46" s="3"/>
      <c r="G46" s="3"/>
      <c r="H46" s="3"/>
    </row>
    <row r="47" spans="1:8" s="148" customFormat="1" ht="15.75">
      <c r="A47" s="3"/>
      <c r="B47" s="3"/>
      <c r="C47" s="3"/>
      <c r="D47" s="3"/>
      <c r="E47" s="3"/>
      <c r="F47" s="3"/>
      <c r="G47" s="3"/>
      <c r="H47" s="11" t="s">
        <v>609</v>
      </c>
    </row>
    <row r="48" spans="1:8" s="148" customFormat="1" ht="15.75">
      <c r="A48" s="3"/>
      <c r="B48" s="3"/>
      <c r="C48" s="3"/>
      <c r="D48" s="3"/>
      <c r="E48" s="3"/>
      <c r="F48" s="3"/>
      <c r="G48" s="3"/>
      <c r="H48" s="11" t="s">
        <v>610</v>
      </c>
    </row>
    <row r="49" ht="15.75">
      <c r="H49" s="11" t="s">
        <v>611</v>
      </c>
    </row>
    <row r="50" ht="15.75">
      <c r="H50" s="11"/>
    </row>
    <row r="51" spans="1:8" ht="12.75" customHeight="1">
      <c r="A51" s="713" t="s">
        <v>612</v>
      </c>
      <c r="B51" s="713"/>
      <c r="C51" s="713"/>
      <c r="D51" s="713"/>
      <c r="E51" s="713"/>
      <c r="F51" s="713"/>
      <c r="G51" s="713"/>
      <c r="H51" s="713"/>
    </row>
    <row r="52" spans="1:8" ht="12.75" customHeight="1">
      <c r="A52" s="713" t="s">
        <v>613</v>
      </c>
      <c r="B52" s="713"/>
      <c r="C52" s="713"/>
      <c r="D52" s="713"/>
      <c r="E52" s="713"/>
      <c r="F52" s="713"/>
      <c r="G52" s="713"/>
      <c r="H52" s="713"/>
    </row>
    <row r="53" ht="15.75">
      <c r="H53" s="11" t="s">
        <v>43</v>
      </c>
    </row>
    <row r="54" ht="15.75">
      <c r="H54" s="11" t="s">
        <v>44</v>
      </c>
    </row>
    <row r="55" ht="15.75">
      <c r="H55" s="11" t="s">
        <v>45</v>
      </c>
    </row>
    <row r="56" ht="15.75">
      <c r="H56" s="594" t="s">
        <v>614</v>
      </c>
    </row>
    <row r="57" ht="15.75">
      <c r="H57" s="11" t="s">
        <v>615</v>
      </c>
    </row>
    <row r="58" ht="15.75">
      <c r="H58" s="11" t="s">
        <v>47</v>
      </c>
    </row>
    <row r="59" ht="15.75">
      <c r="A59" s="595"/>
    </row>
    <row r="60" ht="15.75">
      <c r="A60" s="3" t="s">
        <v>666</v>
      </c>
    </row>
    <row r="61" spans="1:8" ht="12.75" customHeight="1">
      <c r="A61" s="717" t="s">
        <v>0</v>
      </c>
      <c r="B61" s="714"/>
      <c r="C61" s="714"/>
      <c r="D61" s="714"/>
      <c r="E61" s="714"/>
      <c r="F61" s="714"/>
      <c r="G61" s="714"/>
      <c r="H61" s="714"/>
    </row>
    <row r="62" spans="1:8" ht="16.5" thickBot="1">
      <c r="A62" s="597"/>
      <c r="B62" s="597"/>
      <c r="C62" s="598"/>
      <c r="D62" s="598"/>
      <c r="E62" s="598"/>
      <c r="F62" s="598"/>
      <c r="G62" s="598"/>
      <c r="H62" s="598"/>
    </row>
    <row r="63" spans="1:8" ht="12.75" customHeight="1">
      <c r="A63" s="708" t="s">
        <v>617</v>
      </c>
      <c r="B63" s="710" t="s">
        <v>618</v>
      </c>
      <c r="C63" s="711" t="s">
        <v>619</v>
      </c>
      <c r="D63" s="711"/>
      <c r="E63" s="711"/>
      <c r="F63" s="711"/>
      <c r="G63" s="712" t="s">
        <v>620</v>
      </c>
      <c r="H63" s="708" t="s">
        <v>621</v>
      </c>
    </row>
    <row r="64" spans="1:8" ht="15.75">
      <c r="A64" s="708"/>
      <c r="B64" s="710"/>
      <c r="C64" s="711"/>
      <c r="D64" s="711"/>
      <c r="E64" s="711"/>
      <c r="F64" s="711"/>
      <c r="G64" s="712"/>
      <c r="H64" s="708"/>
    </row>
    <row r="65" spans="1:8" ht="31.5">
      <c r="A65" s="708"/>
      <c r="B65" s="710"/>
      <c r="C65" s="601" t="s">
        <v>622</v>
      </c>
      <c r="D65" s="601" t="s">
        <v>623</v>
      </c>
      <c r="E65" s="602" t="s">
        <v>622</v>
      </c>
      <c r="F65" s="603" t="s">
        <v>623</v>
      </c>
      <c r="G65" s="712"/>
      <c r="H65" s="708"/>
    </row>
    <row r="66" spans="1:8" ht="15.75">
      <c r="A66" s="599">
        <v>1</v>
      </c>
      <c r="B66" s="599">
        <v>2</v>
      </c>
      <c r="C66" s="604">
        <v>3</v>
      </c>
      <c r="D66" s="604">
        <v>4</v>
      </c>
      <c r="E66" s="605"/>
      <c r="F66" s="606"/>
      <c r="G66" s="600">
        <v>5</v>
      </c>
      <c r="H66" s="599">
        <v>6</v>
      </c>
    </row>
    <row r="67" spans="1:8" ht="12.75" customHeight="1">
      <c r="A67" s="607">
        <v>1</v>
      </c>
      <c r="B67" s="709" t="s">
        <v>624</v>
      </c>
      <c r="C67" s="709"/>
      <c r="D67" s="709"/>
      <c r="E67" s="709"/>
      <c r="F67" s="709"/>
      <c r="G67" s="709"/>
      <c r="H67" s="709"/>
    </row>
    <row r="68" spans="1:8" ht="15.75">
      <c r="A68" s="608" t="s">
        <v>74</v>
      </c>
      <c r="B68" s="609" t="s">
        <v>625</v>
      </c>
      <c r="C68" s="610" t="s">
        <v>379</v>
      </c>
      <c r="D68" s="610" t="s">
        <v>379</v>
      </c>
      <c r="E68" s="610" t="s">
        <v>379</v>
      </c>
      <c r="F68" s="610" t="s">
        <v>379</v>
      </c>
      <c r="G68" s="610" t="s">
        <v>379</v>
      </c>
      <c r="H68" s="611" t="s">
        <v>626</v>
      </c>
    </row>
    <row r="69" spans="1:8" ht="15.75">
      <c r="A69" s="608" t="s">
        <v>313</v>
      </c>
      <c r="B69" s="609" t="s">
        <v>627</v>
      </c>
      <c r="C69" s="610" t="s">
        <v>379</v>
      </c>
      <c r="D69" s="610" t="s">
        <v>379</v>
      </c>
      <c r="E69" s="610" t="s">
        <v>379</v>
      </c>
      <c r="F69" s="610" t="s">
        <v>379</v>
      </c>
      <c r="G69" s="610" t="s">
        <v>379</v>
      </c>
      <c r="H69" s="611" t="s">
        <v>626</v>
      </c>
    </row>
    <row r="70" spans="1:8" ht="31.5">
      <c r="A70" s="608" t="s">
        <v>315</v>
      </c>
      <c r="B70" s="612" t="s">
        <v>628</v>
      </c>
      <c r="C70" s="610" t="s">
        <v>379</v>
      </c>
      <c r="D70" s="610" t="s">
        <v>379</v>
      </c>
      <c r="E70" s="610" t="s">
        <v>379</v>
      </c>
      <c r="F70" s="610" t="s">
        <v>379</v>
      </c>
      <c r="G70" s="610" t="s">
        <v>379</v>
      </c>
      <c r="H70" s="611" t="s">
        <v>626</v>
      </c>
    </row>
    <row r="71" spans="1:8" ht="47.25">
      <c r="A71" s="608" t="s">
        <v>317</v>
      </c>
      <c r="B71" s="612" t="s">
        <v>629</v>
      </c>
      <c r="C71" s="610" t="s">
        <v>379</v>
      </c>
      <c r="D71" s="610" t="s">
        <v>379</v>
      </c>
      <c r="E71" s="610" t="s">
        <v>379</v>
      </c>
      <c r="F71" s="610" t="s">
        <v>379</v>
      </c>
      <c r="G71" s="610" t="s">
        <v>379</v>
      </c>
      <c r="H71" s="611" t="s">
        <v>626</v>
      </c>
    </row>
    <row r="72" spans="1:8" ht="15.75">
      <c r="A72" s="608" t="s">
        <v>630</v>
      </c>
      <c r="B72" s="613" t="s">
        <v>631</v>
      </c>
      <c r="C72" s="610" t="s">
        <v>379</v>
      </c>
      <c r="D72" s="610" t="s">
        <v>379</v>
      </c>
      <c r="E72" s="610" t="s">
        <v>379</v>
      </c>
      <c r="F72" s="610" t="s">
        <v>379</v>
      </c>
      <c r="G72" s="610" t="s">
        <v>379</v>
      </c>
      <c r="H72" s="611" t="s">
        <v>626</v>
      </c>
    </row>
    <row r="73" spans="1:8" ht="15.75">
      <c r="A73" s="608" t="s">
        <v>632</v>
      </c>
      <c r="B73" s="613" t="s">
        <v>633</v>
      </c>
      <c r="C73" s="610" t="s">
        <v>379</v>
      </c>
      <c r="D73" s="610" t="s">
        <v>379</v>
      </c>
      <c r="E73" s="610" t="s">
        <v>379</v>
      </c>
      <c r="F73" s="610" t="s">
        <v>379</v>
      </c>
      <c r="G73" s="610" t="s">
        <v>379</v>
      </c>
      <c r="H73" s="611" t="s">
        <v>626</v>
      </c>
    </row>
    <row r="74" spans="1:8" ht="12.75" customHeight="1">
      <c r="A74" s="608">
        <v>2</v>
      </c>
      <c r="B74" s="706" t="s">
        <v>634</v>
      </c>
      <c r="C74" s="706"/>
      <c r="D74" s="706"/>
      <c r="E74" s="706"/>
      <c r="F74" s="706"/>
      <c r="G74" s="706"/>
      <c r="H74" s="706"/>
    </row>
    <row r="75" spans="1:8" ht="31.5">
      <c r="A75" s="608" t="s">
        <v>321</v>
      </c>
      <c r="B75" s="612" t="s">
        <v>635</v>
      </c>
      <c r="C75" s="610" t="s">
        <v>636</v>
      </c>
      <c r="D75" s="610" t="s">
        <v>667</v>
      </c>
      <c r="E75" s="610" t="s">
        <v>379</v>
      </c>
      <c r="F75" s="610" t="s">
        <v>379</v>
      </c>
      <c r="G75" s="614">
        <v>0</v>
      </c>
      <c r="H75" s="611"/>
    </row>
    <row r="76" spans="1:8" ht="47.25">
      <c r="A76" s="608" t="s">
        <v>325</v>
      </c>
      <c r="B76" s="612" t="s">
        <v>638</v>
      </c>
      <c r="C76" s="610" t="s">
        <v>379</v>
      </c>
      <c r="D76" s="610" t="s">
        <v>379</v>
      </c>
      <c r="E76" s="610" t="s">
        <v>379</v>
      </c>
      <c r="F76" s="610" t="s">
        <v>379</v>
      </c>
      <c r="G76" s="610" t="s">
        <v>379</v>
      </c>
      <c r="H76" s="611" t="s">
        <v>626</v>
      </c>
    </row>
    <row r="77" spans="1:8" ht="31.5">
      <c r="A77" s="608" t="s">
        <v>639</v>
      </c>
      <c r="B77" s="612" t="s">
        <v>640</v>
      </c>
      <c r="C77" s="610" t="s">
        <v>379</v>
      </c>
      <c r="D77" s="610" t="s">
        <v>379</v>
      </c>
      <c r="E77" s="610" t="s">
        <v>379</v>
      </c>
      <c r="F77" s="610" t="s">
        <v>379</v>
      </c>
      <c r="G77" s="610" t="s">
        <v>379</v>
      </c>
      <c r="H77" s="611" t="s">
        <v>626</v>
      </c>
    </row>
    <row r="78" spans="1:8" ht="12.75" customHeight="1">
      <c r="A78" s="608">
        <v>3</v>
      </c>
      <c r="B78" s="706" t="s">
        <v>641</v>
      </c>
      <c r="C78" s="706"/>
      <c r="D78" s="706"/>
      <c r="E78" s="706"/>
      <c r="F78" s="706"/>
      <c r="G78" s="706"/>
      <c r="H78" s="706"/>
    </row>
    <row r="79" spans="1:8" ht="31.5">
      <c r="A79" s="608" t="s">
        <v>378</v>
      </c>
      <c r="B79" s="613" t="s">
        <v>642</v>
      </c>
      <c r="C79" s="610" t="s">
        <v>379</v>
      </c>
      <c r="D79" s="610" t="s">
        <v>379</v>
      </c>
      <c r="E79" s="610" t="s">
        <v>379</v>
      </c>
      <c r="F79" s="610" t="s">
        <v>379</v>
      </c>
      <c r="G79" s="610" t="s">
        <v>379</v>
      </c>
      <c r="H79" s="611" t="s">
        <v>626</v>
      </c>
    </row>
    <row r="80" spans="1:8" ht="15.75">
      <c r="A80" s="608" t="s">
        <v>643</v>
      </c>
      <c r="B80" s="613" t="s">
        <v>644</v>
      </c>
      <c r="C80" s="610" t="s">
        <v>636</v>
      </c>
      <c r="D80" s="610" t="s">
        <v>645</v>
      </c>
      <c r="E80" s="610" t="s">
        <v>379</v>
      </c>
      <c r="F80" s="610" t="s">
        <v>379</v>
      </c>
      <c r="G80" s="614">
        <v>0</v>
      </c>
      <c r="H80" s="611"/>
    </row>
    <row r="81" spans="1:8" ht="15.75">
      <c r="A81" s="608" t="s">
        <v>380</v>
      </c>
      <c r="B81" s="613" t="s">
        <v>646</v>
      </c>
      <c r="C81" s="610" t="s">
        <v>647</v>
      </c>
      <c r="D81" s="610" t="s">
        <v>637</v>
      </c>
      <c r="E81" s="610" t="s">
        <v>379</v>
      </c>
      <c r="F81" s="610" t="s">
        <v>379</v>
      </c>
      <c r="G81" s="614">
        <v>0</v>
      </c>
      <c r="H81" s="611"/>
    </row>
    <row r="82" spans="1:8" ht="15.75">
      <c r="A82" s="608" t="s">
        <v>649</v>
      </c>
      <c r="B82" s="613" t="s">
        <v>650</v>
      </c>
      <c r="C82" s="610" t="s">
        <v>651</v>
      </c>
      <c r="D82" s="610" t="s">
        <v>668</v>
      </c>
      <c r="E82" s="610" t="s">
        <v>379</v>
      </c>
      <c r="F82" s="610" t="s">
        <v>379</v>
      </c>
      <c r="G82" s="614">
        <v>0</v>
      </c>
      <c r="H82" s="611"/>
    </row>
    <row r="83" spans="1:8" ht="15.75">
      <c r="A83" s="608" t="s">
        <v>653</v>
      </c>
      <c r="B83" s="613" t="s">
        <v>654</v>
      </c>
      <c r="C83" s="610" t="s">
        <v>668</v>
      </c>
      <c r="D83" s="610" t="s">
        <v>667</v>
      </c>
      <c r="E83" s="610" t="s">
        <v>379</v>
      </c>
      <c r="F83" s="610" t="s">
        <v>379</v>
      </c>
      <c r="G83" s="614">
        <v>0</v>
      </c>
      <c r="H83" s="611"/>
    </row>
    <row r="84" spans="1:8" ht="12.75" customHeight="1">
      <c r="A84" s="608">
        <v>4</v>
      </c>
      <c r="B84" s="706" t="s">
        <v>656</v>
      </c>
      <c r="C84" s="706"/>
      <c r="D84" s="706"/>
      <c r="E84" s="706"/>
      <c r="F84" s="706"/>
      <c r="G84" s="706"/>
      <c r="H84" s="706"/>
    </row>
    <row r="85" spans="1:8" ht="31.5">
      <c r="A85" s="608" t="s">
        <v>657</v>
      </c>
      <c r="B85" s="612" t="s">
        <v>658</v>
      </c>
      <c r="C85" s="610" t="s">
        <v>379</v>
      </c>
      <c r="D85" s="610" t="s">
        <v>379</v>
      </c>
      <c r="E85" s="610" t="s">
        <v>379</v>
      </c>
      <c r="F85" s="610" t="s">
        <v>379</v>
      </c>
      <c r="G85" s="610" t="s">
        <v>379</v>
      </c>
      <c r="H85" s="611" t="s">
        <v>626</v>
      </c>
    </row>
    <row r="86" spans="1:8" ht="47.25">
      <c r="A86" s="608" t="s">
        <v>659</v>
      </c>
      <c r="B86" s="612" t="s">
        <v>660</v>
      </c>
      <c r="C86" s="610" t="s">
        <v>379</v>
      </c>
      <c r="D86" s="610" t="s">
        <v>379</v>
      </c>
      <c r="E86" s="610" t="s">
        <v>379</v>
      </c>
      <c r="F86" s="610" t="s">
        <v>379</v>
      </c>
      <c r="G86" s="610" t="s">
        <v>379</v>
      </c>
      <c r="H86" s="611" t="s">
        <v>626</v>
      </c>
    </row>
    <row r="87" spans="1:8" ht="31.5">
      <c r="A87" s="608" t="s">
        <v>661</v>
      </c>
      <c r="B87" s="613" t="s">
        <v>662</v>
      </c>
      <c r="C87" s="610" t="s">
        <v>379</v>
      </c>
      <c r="D87" s="610" t="s">
        <v>379</v>
      </c>
      <c r="E87" s="610" t="s">
        <v>379</v>
      </c>
      <c r="F87" s="610" t="s">
        <v>379</v>
      </c>
      <c r="G87" s="610" t="s">
        <v>379</v>
      </c>
      <c r="H87" s="611" t="s">
        <v>626</v>
      </c>
    </row>
    <row r="88" spans="1:8" ht="31.5">
      <c r="A88" s="615" t="s">
        <v>663</v>
      </c>
      <c r="B88" s="616" t="s">
        <v>664</v>
      </c>
      <c r="C88" s="617" t="s">
        <v>379</v>
      </c>
      <c r="D88" s="617" t="s">
        <v>379</v>
      </c>
      <c r="E88" s="617" t="s">
        <v>379</v>
      </c>
      <c r="F88" s="617" t="s">
        <v>379</v>
      </c>
      <c r="G88" s="617" t="s">
        <v>379</v>
      </c>
      <c r="H88" s="618" t="s">
        <v>626</v>
      </c>
    </row>
    <row r="89" spans="1:8" ht="15.75">
      <c r="A89" s="619"/>
      <c r="B89" s="620"/>
      <c r="C89" s="621"/>
      <c r="D89" s="621"/>
      <c r="E89" s="621"/>
      <c r="F89" s="621"/>
      <c r="G89" s="621"/>
      <c r="H89" s="148"/>
    </row>
    <row r="90" spans="1:8" ht="12.75" customHeight="1">
      <c r="A90" s="707" t="s">
        <v>665</v>
      </c>
      <c r="B90" s="707"/>
      <c r="C90" s="707"/>
      <c r="D90" s="707"/>
      <c r="E90" s="707"/>
      <c r="F90" s="707"/>
      <c r="G90" s="707"/>
      <c r="H90" s="707"/>
    </row>
    <row r="91" spans="1:8" ht="15.75">
      <c r="A91" s="622"/>
      <c r="B91" s="622"/>
      <c r="C91" s="622"/>
      <c r="D91" s="622"/>
      <c r="E91" s="622"/>
      <c r="F91" s="622"/>
      <c r="G91" s="622"/>
      <c r="H91" s="622"/>
    </row>
    <row r="93" ht="15.75">
      <c r="H93" s="11" t="s">
        <v>609</v>
      </c>
    </row>
    <row r="94" ht="15.75">
      <c r="H94" s="11" t="s">
        <v>610</v>
      </c>
    </row>
    <row r="95" ht="15.75">
      <c r="H95" s="11" t="s">
        <v>611</v>
      </c>
    </row>
    <row r="96" ht="15.75">
      <c r="H96" s="11"/>
    </row>
    <row r="97" spans="1:8" ht="12.75" customHeight="1">
      <c r="A97" s="713" t="s">
        <v>612</v>
      </c>
      <c r="B97" s="713"/>
      <c r="C97" s="713"/>
      <c r="D97" s="713"/>
      <c r="E97" s="713"/>
      <c r="F97" s="713"/>
      <c r="G97" s="713"/>
      <c r="H97" s="713"/>
    </row>
    <row r="98" spans="1:8" ht="12.75" customHeight="1">
      <c r="A98" s="713" t="s">
        <v>613</v>
      </c>
      <c r="B98" s="713"/>
      <c r="C98" s="713"/>
      <c r="D98" s="713"/>
      <c r="E98" s="713"/>
      <c r="F98" s="713"/>
      <c r="G98" s="713"/>
      <c r="H98" s="713"/>
    </row>
    <row r="99" ht="15.75">
      <c r="H99" s="11" t="s">
        <v>43</v>
      </c>
    </row>
    <row r="100" ht="15.75">
      <c r="H100" s="11" t="s">
        <v>44</v>
      </c>
    </row>
    <row r="101" ht="15.75">
      <c r="H101" s="11" t="s">
        <v>45</v>
      </c>
    </row>
    <row r="102" ht="15.75">
      <c r="H102" s="594" t="s">
        <v>614</v>
      </c>
    </row>
    <row r="103" ht="15.75">
      <c r="H103" s="11" t="s">
        <v>615</v>
      </c>
    </row>
    <row r="104" ht="15.75">
      <c r="H104" s="11" t="s">
        <v>47</v>
      </c>
    </row>
    <row r="105" ht="15.75">
      <c r="A105" s="595"/>
    </row>
    <row r="106" spans="1:8" ht="15.75">
      <c r="A106" s="4" t="s">
        <v>669</v>
      </c>
      <c r="B106" s="4"/>
      <c r="C106" s="4"/>
      <c r="D106" s="4"/>
      <c r="E106" s="4"/>
      <c r="F106" s="4"/>
      <c r="G106" s="4"/>
      <c r="H106" s="4"/>
    </row>
    <row r="107" spans="1:8" ht="12.75" customHeight="1">
      <c r="A107" s="717" t="s">
        <v>0</v>
      </c>
      <c r="B107" s="714"/>
      <c r="C107" s="714"/>
      <c r="D107" s="714"/>
      <c r="E107" s="714"/>
      <c r="F107" s="714"/>
      <c r="G107" s="714"/>
      <c r="H107" s="714"/>
    </row>
    <row r="108" spans="1:8" ht="16.5" thickBot="1">
      <c r="A108" s="597"/>
      <c r="B108" s="597"/>
      <c r="C108" s="598"/>
      <c r="D108" s="598"/>
      <c r="E108" s="598"/>
      <c r="F108" s="598"/>
      <c r="G108" s="598"/>
      <c r="H108" s="598"/>
    </row>
    <row r="109" spans="1:8" ht="12.75" customHeight="1">
      <c r="A109" s="708" t="s">
        <v>617</v>
      </c>
      <c r="B109" s="710" t="s">
        <v>618</v>
      </c>
      <c r="C109" s="711" t="s">
        <v>619</v>
      </c>
      <c r="D109" s="711"/>
      <c r="E109" s="711"/>
      <c r="F109" s="711"/>
      <c r="G109" s="712" t="s">
        <v>620</v>
      </c>
      <c r="H109" s="708" t="s">
        <v>621</v>
      </c>
    </row>
    <row r="110" spans="1:8" ht="15.75">
      <c r="A110" s="708"/>
      <c r="B110" s="710"/>
      <c r="C110" s="711"/>
      <c r="D110" s="711"/>
      <c r="E110" s="711"/>
      <c r="F110" s="711"/>
      <c r="G110" s="712"/>
      <c r="H110" s="708"/>
    </row>
    <row r="111" spans="1:8" ht="31.5">
      <c r="A111" s="708"/>
      <c r="B111" s="710"/>
      <c r="C111" s="601" t="s">
        <v>622</v>
      </c>
      <c r="D111" s="601" t="s">
        <v>623</v>
      </c>
      <c r="E111" s="602" t="s">
        <v>622</v>
      </c>
      <c r="F111" s="603" t="s">
        <v>623</v>
      </c>
      <c r="G111" s="712"/>
      <c r="H111" s="708"/>
    </row>
    <row r="112" spans="1:8" ht="15.75">
      <c r="A112" s="599">
        <v>1</v>
      </c>
      <c r="B112" s="599">
        <v>2</v>
      </c>
      <c r="C112" s="604">
        <v>3</v>
      </c>
      <c r="D112" s="604">
        <v>4</v>
      </c>
      <c r="E112" s="605"/>
      <c r="F112" s="606"/>
      <c r="G112" s="600">
        <v>5</v>
      </c>
      <c r="H112" s="599">
        <v>6</v>
      </c>
    </row>
    <row r="113" spans="1:8" ht="12.75" customHeight="1">
      <c r="A113" s="607">
        <v>1</v>
      </c>
      <c r="B113" s="709" t="s">
        <v>624</v>
      </c>
      <c r="C113" s="709"/>
      <c r="D113" s="709"/>
      <c r="E113" s="709"/>
      <c r="F113" s="709"/>
      <c r="G113" s="709"/>
      <c r="H113" s="709"/>
    </row>
    <row r="114" spans="1:8" ht="15.75">
      <c r="A114" s="608" t="s">
        <v>74</v>
      </c>
      <c r="B114" s="609" t="s">
        <v>625</v>
      </c>
      <c r="C114" s="610" t="s">
        <v>379</v>
      </c>
      <c r="D114" s="610" t="s">
        <v>379</v>
      </c>
      <c r="E114" s="610" t="s">
        <v>379</v>
      </c>
      <c r="F114" s="610" t="s">
        <v>379</v>
      </c>
      <c r="G114" s="610" t="s">
        <v>379</v>
      </c>
      <c r="H114" s="611" t="s">
        <v>626</v>
      </c>
    </row>
    <row r="115" spans="1:8" ht="15.75">
      <c r="A115" s="608" t="s">
        <v>313</v>
      </c>
      <c r="B115" s="609" t="s">
        <v>627</v>
      </c>
      <c r="C115" s="610" t="s">
        <v>379</v>
      </c>
      <c r="D115" s="610" t="s">
        <v>379</v>
      </c>
      <c r="E115" s="610" t="s">
        <v>379</v>
      </c>
      <c r="F115" s="610" t="s">
        <v>379</v>
      </c>
      <c r="G115" s="610" t="s">
        <v>379</v>
      </c>
      <c r="H115" s="611" t="s">
        <v>626</v>
      </c>
    </row>
    <row r="116" spans="1:8" ht="31.5">
      <c r="A116" s="608" t="s">
        <v>315</v>
      </c>
      <c r="B116" s="612" t="s">
        <v>628</v>
      </c>
      <c r="C116" s="610" t="s">
        <v>379</v>
      </c>
      <c r="D116" s="610" t="s">
        <v>379</v>
      </c>
      <c r="E116" s="610" t="s">
        <v>379</v>
      </c>
      <c r="F116" s="610" t="s">
        <v>379</v>
      </c>
      <c r="G116" s="610" t="s">
        <v>379</v>
      </c>
      <c r="H116" s="611" t="s">
        <v>626</v>
      </c>
    </row>
    <row r="117" spans="1:8" ht="47.25">
      <c r="A117" s="608" t="s">
        <v>317</v>
      </c>
      <c r="B117" s="612" t="s">
        <v>629</v>
      </c>
      <c r="C117" s="610" t="s">
        <v>379</v>
      </c>
      <c r="D117" s="610" t="s">
        <v>379</v>
      </c>
      <c r="E117" s="610" t="s">
        <v>379</v>
      </c>
      <c r="F117" s="610" t="s">
        <v>379</v>
      </c>
      <c r="G117" s="610" t="s">
        <v>379</v>
      </c>
      <c r="H117" s="611" t="s">
        <v>626</v>
      </c>
    </row>
    <row r="118" spans="1:8" ht="15.75">
      <c r="A118" s="608" t="s">
        <v>630</v>
      </c>
      <c r="B118" s="613" t="s">
        <v>631</v>
      </c>
      <c r="C118" s="610" t="s">
        <v>379</v>
      </c>
      <c r="D118" s="610" t="s">
        <v>379</v>
      </c>
      <c r="E118" s="610" t="s">
        <v>379</v>
      </c>
      <c r="F118" s="610" t="s">
        <v>379</v>
      </c>
      <c r="G118" s="610" t="s">
        <v>379</v>
      </c>
      <c r="H118" s="611" t="s">
        <v>626</v>
      </c>
    </row>
    <row r="119" spans="1:8" ht="15.75">
      <c r="A119" s="608" t="s">
        <v>632</v>
      </c>
      <c r="B119" s="613" t="s">
        <v>633</v>
      </c>
      <c r="C119" s="610" t="s">
        <v>379</v>
      </c>
      <c r="D119" s="610" t="s">
        <v>379</v>
      </c>
      <c r="E119" s="610" t="s">
        <v>379</v>
      </c>
      <c r="F119" s="610" t="s">
        <v>379</v>
      </c>
      <c r="G119" s="610" t="s">
        <v>379</v>
      </c>
      <c r="H119" s="611" t="s">
        <v>626</v>
      </c>
    </row>
    <row r="120" spans="1:8" ht="12.75" customHeight="1">
      <c r="A120" s="608">
        <v>2</v>
      </c>
      <c r="B120" s="706" t="s">
        <v>634</v>
      </c>
      <c r="C120" s="706"/>
      <c r="D120" s="706"/>
      <c r="E120" s="706"/>
      <c r="F120" s="706"/>
      <c r="G120" s="706"/>
      <c r="H120" s="706"/>
    </row>
    <row r="121" spans="1:8" ht="31.5">
      <c r="A121" s="608" t="s">
        <v>321</v>
      </c>
      <c r="B121" s="612" t="s">
        <v>635</v>
      </c>
      <c r="C121" s="610" t="s">
        <v>636</v>
      </c>
      <c r="D121" s="610" t="s">
        <v>670</v>
      </c>
      <c r="E121" s="610" t="s">
        <v>379</v>
      </c>
      <c r="F121" s="610" t="s">
        <v>379</v>
      </c>
      <c r="G121" s="614">
        <v>0</v>
      </c>
      <c r="H121" s="611"/>
    </row>
    <row r="122" spans="1:8" ht="47.25">
      <c r="A122" s="608" t="s">
        <v>325</v>
      </c>
      <c r="B122" s="612" t="s">
        <v>638</v>
      </c>
      <c r="C122" s="610" t="s">
        <v>379</v>
      </c>
      <c r="D122" s="610" t="s">
        <v>379</v>
      </c>
      <c r="E122" s="610" t="s">
        <v>379</v>
      </c>
      <c r="F122" s="610" t="s">
        <v>379</v>
      </c>
      <c r="G122" s="610" t="s">
        <v>379</v>
      </c>
      <c r="H122" s="611" t="s">
        <v>626</v>
      </c>
    </row>
    <row r="123" spans="1:8" ht="31.5">
      <c r="A123" s="608" t="s">
        <v>639</v>
      </c>
      <c r="B123" s="612" t="s">
        <v>640</v>
      </c>
      <c r="C123" s="610" t="s">
        <v>379</v>
      </c>
      <c r="D123" s="610" t="s">
        <v>379</v>
      </c>
      <c r="E123" s="610" t="s">
        <v>379</v>
      </c>
      <c r="F123" s="610" t="s">
        <v>379</v>
      </c>
      <c r="G123" s="610" t="s">
        <v>379</v>
      </c>
      <c r="H123" s="611" t="s">
        <v>626</v>
      </c>
    </row>
    <row r="124" spans="1:8" ht="12.75" customHeight="1">
      <c r="A124" s="608">
        <v>3</v>
      </c>
      <c r="B124" s="706" t="s">
        <v>641</v>
      </c>
      <c r="C124" s="706"/>
      <c r="D124" s="706"/>
      <c r="E124" s="706"/>
      <c r="F124" s="706"/>
      <c r="G124" s="706"/>
      <c r="H124" s="706"/>
    </row>
    <row r="125" spans="1:8" ht="31.5">
      <c r="A125" s="608" t="s">
        <v>378</v>
      </c>
      <c r="B125" s="613" t="s">
        <v>642</v>
      </c>
      <c r="C125" s="610" t="s">
        <v>379</v>
      </c>
      <c r="D125" s="610" t="s">
        <v>379</v>
      </c>
      <c r="E125" s="610" t="s">
        <v>379</v>
      </c>
      <c r="F125" s="610" t="s">
        <v>379</v>
      </c>
      <c r="G125" s="610" t="s">
        <v>379</v>
      </c>
      <c r="H125" s="611" t="s">
        <v>626</v>
      </c>
    </row>
    <row r="126" spans="1:8" ht="15.75">
      <c r="A126" s="608" t="s">
        <v>643</v>
      </c>
      <c r="B126" s="613" t="s">
        <v>644</v>
      </c>
      <c r="C126" s="610" t="s">
        <v>636</v>
      </c>
      <c r="D126" s="610" t="s">
        <v>671</v>
      </c>
      <c r="E126" s="610" t="s">
        <v>379</v>
      </c>
      <c r="F126" s="610" t="s">
        <v>379</v>
      </c>
      <c r="G126" s="614">
        <v>0</v>
      </c>
      <c r="H126" s="611"/>
    </row>
    <row r="127" spans="1:8" ht="15.75">
      <c r="A127" s="608" t="s">
        <v>380</v>
      </c>
      <c r="B127" s="613" t="s">
        <v>646</v>
      </c>
      <c r="C127" s="610" t="s">
        <v>647</v>
      </c>
      <c r="D127" s="610" t="s">
        <v>651</v>
      </c>
      <c r="E127" s="610" t="s">
        <v>379</v>
      </c>
      <c r="F127" s="610" t="s">
        <v>379</v>
      </c>
      <c r="G127" s="614">
        <v>0</v>
      </c>
      <c r="H127" s="611"/>
    </row>
    <row r="128" spans="1:8" ht="15.75">
      <c r="A128" s="608" t="s">
        <v>649</v>
      </c>
      <c r="B128" s="613" t="s">
        <v>650</v>
      </c>
      <c r="C128" s="610" t="s">
        <v>651</v>
      </c>
      <c r="D128" s="610" t="s">
        <v>672</v>
      </c>
      <c r="E128" s="610" t="s">
        <v>379</v>
      </c>
      <c r="F128" s="610" t="s">
        <v>379</v>
      </c>
      <c r="G128" s="614">
        <v>0</v>
      </c>
      <c r="H128" s="611"/>
    </row>
    <row r="129" spans="1:8" ht="15.75">
      <c r="A129" s="608" t="s">
        <v>653</v>
      </c>
      <c r="B129" s="613" t="s">
        <v>654</v>
      </c>
      <c r="C129" s="610" t="s">
        <v>672</v>
      </c>
      <c r="D129" s="610" t="s">
        <v>670</v>
      </c>
      <c r="E129" s="610" t="s">
        <v>379</v>
      </c>
      <c r="F129" s="610" t="s">
        <v>379</v>
      </c>
      <c r="G129" s="614">
        <v>0</v>
      </c>
      <c r="H129" s="611"/>
    </row>
    <row r="130" spans="1:8" ht="12.75" customHeight="1">
      <c r="A130" s="608">
        <v>4</v>
      </c>
      <c r="B130" s="706" t="s">
        <v>656</v>
      </c>
      <c r="C130" s="706"/>
      <c r="D130" s="706"/>
      <c r="E130" s="706"/>
      <c r="F130" s="706"/>
      <c r="G130" s="706"/>
      <c r="H130" s="706"/>
    </row>
    <row r="131" spans="1:8" ht="31.5">
      <c r="A131" s="608" t="s">
        <v>657</v>
      </c>
      <c r="B131" s="612" t="s">
        <v>658</v>
      </c>
      <c r="C131" s="610" t="s">
        <v>379</v>
      </c>
      <c r="D131" s="610" t="s">
        <v>379</v>
      </c>
      <c r="E131" s="610" t="s">
        <v>379</v>
      </c>
      <c r="F131" s="610" t="s">
        <v>379</v>
      </c>
      <c r="G131" s="610" t="s">
        <v>379</v>
      </c>
      <c r="H131" s="611" t="s">
        <v>626</v>
      </c>
    </row>
    <row r="132" spans="1:8" ht="47.25">
      <c r="A132" s="608" t="s">
        <v>659</v>
      </c>
      <c r="B132" s="612" t="s">
        <v>660</v>
      </c>
      <c r="C132" s="610" t="s">
        <v>379</v>
      </c>
      <c r="D132" s="610" t="s">
        <v>379</v>
      </c>
      <c r="E132" s="610" t="s">
        <v>379</v>
      </c>
      <c r="F132" s="610" t="s">
        <v>379</v>
      </c>
      <c r="G132" s="610" t="s">
        <v>379</v>
      </c>
      <c r="H132" s="611" t="s">
        <v>626</v>
      </c>
    </row>
    <row r="133" spans="1:8" ht="31.5">
      <c r="A133" s="608" t="s">
        <v>661</v>
      </c>
      <c r="B133" s="613" t="s">
        <v>662</v>
      </c>
      <c r="C133" s="610" t="s">
        <v>379</v>
      </c>
      <c r="D133" s="610" t="s">
        <v>379</v>
      </c>
      <c r="E133" s="610" t="s">
        <v>379</v>
      </c>
      <c r="F133" s="610" t="s">
        <v>379</v>
      </c>
      <c r="G133" s="610" t="s">
        <v>379</v>
      </c>
      <c r="H133" s="611" t="s">
        <v>626</v>
      </c>
    </row>
    <row r="134" spans="1:8" ht="31.5">
      <c r="A134" s="615" t="s">
        <v>663</v>
      </c>
      <c r="B134" s="616" t="s">
        <v>664</v>
      </c>
      <c r="C134" s="617" t="s">
        <v>379</v>
      </c>
      <c r="D134" s="617" t="s">
        <v>379</v>
      </c>
      <c r="E134" s="617" t="s">
        <v>379</v>
      </c>
      <c r="F134" s="617" t="s">
        <v>379</v>
      </c>
      <c r="G134" s="617" t="s">
        <v>379</v>
      </c>
      <c r="H134" s="618" t="s">
        <v>626</v>
      </c>
    </row>
    <row r="135" spans="1:8" ht="15.75">
      <c r="A135" s="619"/>
      <c r="B135" s="620"/>
      <c r="C135" s="621"/>
      <c r="D135" s="621"/>
      <c r="E135" s="621"/>
      <c r="F135" s="621"/>
      <c r="G135" s="621"/>
      <c r="H135" s="148"/>
    </row>
    <row r="136" spans="1:8" ht="12.75" customHeight="1">
      <c r="A136" s="707" t="s">
        <v>665</v>
      </c>
      <c r="B136" s="707"/>
      <c r="C136" s="707"/>
      <c r="D136" s="707"/>
      <c r="E136" s="707"/>
      <c r="F136" s="707"/>
      <c r="G136" s="707"/>
      <c r="H136" s="707"/>
    </row>
    <row r="139" ht="15.75">
      <c r="H139" s="11" t="s">
        <v>609</v>
      </c>
    </row>
    <row r="140" ht="15.75">
      <c r="H140" s="11" t="s">
        <v>610</v>
      </c>
    </row>
    <row r="141" ht="15.75">
      <c r="H141" s="11" t="s">
        <v>611</v>
      </c>
    </row>
    <row r="142" ht="15.75">
      <c r="H142" s="11"/>
    </row>
    <row r="143" spans="1:8" ht="12.75" customHeight="1">
      <c r="A143" s="713" t="s">
        <v>612</v>
      </c>
      <c r="B143" s="713"/>
      <c r="C143" s="713"/>
      <c r="D143" s="713"/>
      <c r="E143" s="713"/>
      <c r="F143" s="713"/>
      <c r="G143" s="713"/>
      <c r="H143" s="713"/>
    </row>
    <row r="144" spans="1:8" ht="12.75" customHeight="1">
      <c r="A144" s="713" t="s">
        <v>613</v>
      </c>
      <c r="B144" s="713"/>
      <c r="C144" s="713"/>
      <c r="D144" s="713"/>
      <c r="E144" s="713"/>
      <c r="F144" s="713"/>
      <c r="G144" s="713"/>
      <c r="H144" s="713"/>
    </row>
    <row r="145" ht="15.75">
      <c r="H145" s="11" t="s">
        <v>43</v>
      </c>
    </row>
    <row r="146" ht="15.75">
      <c r="H146" s="11" t="s">
        <v>44</v>
      </c>
    </row>
    <row r="147" ht="15.75">
      <c r="H147" s="11" t="s">
        <v>45</v>
      </c>
    </row>
    <row r="148" ht="15.75">
      <c r="H148" s="594" t="s">
        <v>614</v>
      </c>
    </row>
    <row r="149" ht="15.75">
      <c r="H149" s="11" t="s">
        <v>615</v>
      </c>
    </row>
    <row r="150" ht="15.75">
      <c r="H150" s="11" t="s">
        <v>47</v>
      </c>
    </row>
    <row r="151" ht="15.75">
      <c r="A151" s="595"/>
    </row>
    <row r="152" ht="15.75">
      <c r="A152" s="3" t="s">
        <v>673</v>
      </c>
    </row>
    <row r="153" spans="1:8" ht="12.75" customHeight="1">
      <c r="A153" s="717" t="s">
        <v>0</v>
      </c>
      <c r="B153" s="714"/>
      <c r="C153" s="714"/>
      <c r="D153" s="714"/>
      <c r="E153" s="714"/>
      <c r="F153" s="714"/>
      <c r="G153" s="714"/>
      <c r="H153" s="714"/>
    </row>
    <row r="154" spans="1:8" ht="16.5" thickBot="1">
      <c r="A154" s="597"/>
      <c r="B154" s="597"/>
      <c r="C154" s="598"/>
      <c r="D154" s="598"/>
      <c r="E154" s="598"/>
      <c r="F154" s="598"/>
      <c r="G154" s="598"/>
      <c r="H154" s="598"/>
    </row>
    <row r="155" spans="1:8" ht="12.75" customHeight="1">
      <c r="A155" s="708" t="s">
        <v>617</v>
      </c>
      <c r="B155" s="710" t="s">
        <v>618</v>
      </c>
      <c r="C155" s="711" t="s">
        <v>619</v>
      </c>
      <c r="D155" s="711"/>
      <c r="E155" s="711"/>
      <c r="F155" s="711"/>
      <c r="G155" s="712" t="s">
        <v>620</v>
      </c>
      <c r="H155" s="708" t="s">
        <v>621</v>
      </c>
    </row>
    <row r="156" spans="1:8" ht="15.75">
      <c r="A156" s="708"/>
      <c r="B156" s="710"/>
      <c r="C156" s="711"/>
      <c r="D156" s="711"/>
      <c r="E156" s="711"/>
      <c r="F156" s="711"/>
      <c r="G156" s="712"/>
      <c r="H156" s="708"/>
    </row>
    <row r="157" spans="1:8" ht="31.5">
      <c r="A157" s="708"/>
      <c r="B157" s="710"/>
      <c r="C157" s="601" t="s">
        <v>622</v>
      </c>
      <c r="D157" s="601" t="s">
        <v>623</v>
      </c>
      <c r="E157" s="602" t="s">
        <v>622</v>
      </c>
      <c r="F157" s="603" t="s">
        <v>623</v>
      </c>
      <c r="G157" s="712"/>
      <c r="H157" s="708"/>
    </row>
    <row r="158" spans="1:8" ht="15.75">
      <c r="A158" s="599">
        <v>1</v>
      </c>
      <c r="B158" s="599">
        <v>2</v>
      </c>
      <c r="C158" s="604">
        <v>3</v>
      </c>
      <c r="D158" s="604">
        <v>4</v>
      </c>
      <c r="E158" s="605"/>
      <c r="F158" s="606"/>
      <c r="G158" s="600">
        <v>5</v>
      </c>
      <c r="H158" s="599">
        <v>6</v>
      </c>
    </row>
    <row r="159" spans="1:8" ht="12.75" customHeight="1">
      <c r="A159" s="607">
        <v>1</v>
      </c>
      <c r="B159" s="709" t="s">
        <v>624</v>
      </c>
      <c r="C159" s="709"/>
      <c r="D159" s="709"/>
      <c r="E159" s="709"/>
      <c r="F159" s="709"/>
      <c r="G159" s="709"/>
      <c r="H159" s="709"/>
    </row>
    <row r="160" spans="1:8" ht="15.75">
      <c r="A160" s="608" t="s">
        <v>74</v>
      </c>
      <c r="B160" s="609" t="s">
        <v>625</v>
      </c>
      <c r="C160" s="610" t="s">
        <v>379</v>
      </c>
      <c r="D160" s="610" t="s">
        <v>379</v>
      </c>
      <c r="E160" s="610" t="s">
        <v>379</v>
      </c>
      <c r="F160" s="610" t="s">
        <v>379</v>
      </c>
      <c r="G160" s="610" t="s">
        <v>379</v>
      </c>
      <c r="H160" s="611" t="s">
        <v>626</v>
      </c>
    </row>
    <row r="161" spans="1:8" ht="15.75">
      <c r="A161" s="608" t="s">
        <v>313</v>
      </c>
      <c r="B161" s="609" t="s">
        <v>627</v>
      </c>
      <c r="C161" s="610" t="s">
        <v>379</v>
      </c>
      <c r="D161" s="610" t="s">
        <v>379</v>
      </c>
      <c r="E161" s="610" t="s">
        <v>379</v>
      </c>
      <c r="F161" s="610" t="s">
        <v>379</v>
      </c>
      <c r="G161" s="610" t="s">
        <v>379</v>
      </c>
      <c r="H161" s="611" t="s">
        <v>626</v>
      </c>
    </row>
    <row r="162" spans="1:8" ht="31.5">
      <c r="A162" s="608" t="s">
        <v>315</v>
      </c>
      <c r="B162" s="612" t="s">
        <v>628</v>
      </c>
      <c r="C162" s="610" t="s">
        <v>379</v>
      </c>
      <c r="D162" s="610" t="s">
        <v>379</v>
      </c>
      <c r="E162" s="610" t="s">
        <v>379</v>
      </c>
      <c r="F162" s="610" t="s">
        <v>379</v>
      </c>
      <c r="G162" s="610" t="s">
        <v>379</v>
      </c>
      <c r="H162" s="611" t="s">
        <v>626</v>
      </c>
    </row>
    <row r="163" spans="1:8" ht="47.25">
      <c r="A163" s="608" t="s">
        <v>317</v>
      </c>
      <c r="B163" s="612" t="s">
        <v>629</v>
      </c>
      <c r="C163" s="610" t="s">
        <v>379</v>
      </c>
      <c r="D163" s="610" t="s">
        <v>379</v>
      </c>
      <c r="E163" s="610" t="s">
        <v>379</v>
      </c>
      <c r="F163" s="610" t="s">
        <v>379</v>
      </c>
      <c r="G163" s="610" t="s">
        <v>379</v>
      </c>
      <c r="H163" s="611" t="s">
        <v>626</v>
      </c>
    </row>
    <row r="164" spans="1:8" ht="15.75">
      <c r="A164" s="608" t="s">
        <v>630</v>
      </c>
      <c r="B164" s="613" t="s">
        <v>631</v>
      </c>
      <c r="C164" s="610" t="s">
        <v>379</v>
      </c>
      <c r="D164" s="610" t="s">
        <v>379</v>
      </c>
      <c r="E164" s="610" t="s">
        <v>379</v>
      </c>
      <c r="F164" s="610" t="s">
        <v>379</v>
      </c>
      <c r="G164" s="610" t="s">
        <v>379</v>
      </c>
      <c r="H164" s="611" t="s">
        <v>626</v>
      </c>
    </row>
    <row r="165" spans="1:8" ht="15.75">
      <c r="A165" s="608" t="s">
        <v>632</v>
      </c>
      <c r="B165" s="613" t="s">
        <v>633</v>
      </c>
      <c r="C165" s="610" t="s">
        <v>379</v>
      </c>
      <c r="D165" s="610" t="s">
        <v>379</v>
      </c>
      <c r="E165" s="610" t="s">
        <v>379</v>
      </c>
      <c r="F165" s="610" t="s">
        <v>379</v>
      </c>
      <c r="G165" s="610" t="s">
        <v>379</v>
      </c>
      <c r="H165" s="611" t="s">
        <v>626</v>
      </c>
    </row>
    <row r="166" spans="1:8" ht="12.75" customHeight="1">
      <c r="A166" s="608">
        <v>2</v>
      </c>
      <c r="B166" s="706" t="s">
        <v>634</v>
      </c>
      <c r="C166" s="706"/>
      <c r="D166" s="706"/>
      <c r="E166" s="706"/>
      <c r="F166" s="706"/>
      <c r="G166" s="706"/>
      <c r="H166" s="706"/>
    </row>
    <row r="167" spans="1:8" ht="31.5">
      <c r="A167" s="608" t="s">
        <v>321</v>
      </c>
      <c r="B167" s="612" t="s">
        <v>635</v>
      </c>
      <c r="C167" s="610" t="s">
        <v>636</v>
      </c>
      <c r="D167" s="610" t="s">
        <v>670</v>
      </c>
      <c r="E167" s="610" t="s">
        <v>379</v>
      </c>
      <c r="F167" s="610" t="s">
        <v>379</v>
      </c>
      <c r="G167" s="614">
        <v>0</v>
      </c>
      <c r="H167" s="611"/>
    </row>
    <row r="168" spans="1:8" ht="47.25">
      <c r="A168" s="608" t="s">
        <v>325</v>
      </c>
      <c r="B168" s="612" t="s">
        <v>638</v>
      </c>
      <c r="C168" s="610" t="s">
        <v>379</v>
      </c>
      <c r="D168" s="610" t="s">
        <v>379</v>
      </c>
      <c r="E168" s="610" t="s">
        <v>379</v>
      </c>
      <c r="F168" s="610" t="s">
        <v>379</v>
      </c>
      <c r="G168" s="610" t="s">
        <v>379</v>
      </c>
      <c r="H168" s="611" t="s">
        <v>626</v>
      </c>
    </row>
    <row r="169" spans="1:8" ht="31.5">
      <c r="A169" s="608" t="s">
        <v>639</v>
      </c>
      <c r="B169" s="612" t="s">
        <v>640</v>
      </c>
      <c r="C169" s="610" t="s">
        <v>379</v>
      </c>
      <c r="D169" s="610" t="s">
        <v>379</v>
      </c>
      <c r="E169" s="610" t="s">
        <v>379</v>
      </c>
      <c r="F169" s="610" t="s">
        <v>379</v>
      </c>
      <c r="G169" s="610" t="s">
        <v>379</v>
      </c>
      <c r="H169" s="611" t="s">
        <v>626</v>
      </c>
    </row>
    <row r="170" spans="1:8" ht="12.75" customHeight="1">
      <c r="A170" s="608">
        <v>3</v>
      </c>
      <c r="B170" s="706" t="s">
        <v>674</v>
      </c>
      <c r="C170" s="706"/>
      <c r="D170" s="706"/>
      <c r="E170" s="706"/>
      <c r="F170" s="706"/>
      <c r="G170" s="706"/>
      <c r="H170" s="706"/>
    </row>
    <row r="171" spans="1:8" ht="31.5">
      <c r="A171" s="608" t="s">
        <v>378</v>
      </c>
      <c r="B171" s="613" t="s">
        <v>642</v>
      </c>
      <c r="C171" s="610" t="s">
        <v>379</v>
      </c>
      <c r="D171" s="610" t="s">
        <v>379</v>
      </c>
      <c r="E171" s="610" t="s">
        <v>379</v>
      </c>
      <c r="F171" s="610" t="s">
        <v>379</v>
      </c>
      <c r="G171" s="610" t="s">
        <v>379</v>
      </c>
      <c r="H171" s="611" t="s">
        <v>626</v>
      </c>
    </row>
    <row r="172" spans="1:8" ht="15.75">
      <c r="A172" s="608" t="s">
        <v>643</v>
      </c>
      <c r="B172" s="613" t="s">
        <v>644</v>
      </c>
      <c r="C172" s="610" t="s">
        <v>636</v>
      </c>
      <c r="D172" s="610" t="s">
        <v>671</v>
      </c>
      <c r="E172" s="610" t="s">
        <v>379</v>
      </c>
      <c r="F172" s="610" t="s">
        <v>379</v>
      </c>
      <c r="G172" s="614">
        <v>0</v>
      </c>
      <c r="H172" s="611"/>
    </row>
    <row r="173" spans="1:8" ht="15.75">
      <c r="A173" s="608" t="s">
        <v>380</v>
      </c>
      <c r="B173" s="613" t="s">
        <v>646</v>
      </c>
      <c r="C173" s="610" t="s">
        <v>647</v>
      </c>
      <c r="D173" s="610" t="s">
        <v>651</v>
      </c>
      <c r="E173" s="610" t="s">
        <v>379</v>
      </c>
      <c r="F173" s="610" t="s">
        <v>379</v>
      </c>
      <c r="G173" s="614">
        <v>0</v>
      </c>
      <c r="H173" s="611"/>
    </row>
    <row r="174" spans="1:8" ht="15.75">
      <c r="A174" s="608" t="s">
        <v>649</v>
      </c>
      <c r="B174" s="613" t="s">
        <v>650</v>
      </c>
      <c r="C174" s="610" t="s">
        <v>651</v>
      </c>
      <c r="D174" s="610" t="s">
        <v>672</v>
      </c>
      <c r="E174" s="610" t="s">
        <v>379</v>
      </c>
      <c r="F174" s="610" t="s">
        <v>379</v>
      </c>
      <c r="G174" s="614">
        <v>0</v>
      </c>
      <c r="H174" s="611"/>
    </row>
    <row r="175" spans="1:8" ht="15.75">
      <c r="A175" s="608" t="s">
        <v>653</v>
      </c>
      <c r="B175" s="613" t="s">
        <v>654</v>
      </c>
      <c r="C175" s="610" t="s">
        <v>672</v>
      </c>
      <c r="D175" s="610" t="s">
        <v>670</v>
      </c>
      <c r="E175" s="610" t="s">
        <v>379</v>
      </c>
      <c r="F175" s="610" t="s">
        <v>379</v>
      </c>
      <c r="G175" s="614">
        <v>0</v>
      </c>
      <c r="H175" s="611"/>
    </row>
    <row r="176" spans="1:8" ht="12.75" customHeight="1">
      <c r="A176" s="608">
        <v>4</v>
      </c>
      <c r="B176" s="706" t="s">
        <v>656</v>
      </c>
      <c r="C176" s="706"/>
      <c r="D176" s="706"/>
      <c r="E176" s="706"/>
      <c r="F176" s="706"/>
      <c r="G176" s="706"/>
      <c r="H176" s="706"/>
    </row>
    <row r="177" spans="1:8" ht="31.5">
      <c r="A177" s="608" t="s">
        <v>657</v>
      </c>
      <c r="B177" s="612" t="s">
        <v>658</v>
      </c>
      <c r="C177" s="610" t="s">
        <v>379</v>
      </c>
      <c r="D177" s="610" t="s">
        <v>379</v>
      </c>
      <c r="E177" s="610" t="s">
        <v>379</v>
      </c>
      <c r="F177" s="610" t="s">
        <v>379</v>
      </c>
      <c r="G177" s="610" t="s">
        <v>379</v>
      </c>
      <c r="H177" s="611" t="s">
        <v>626</v>
      </c>
    </row>
    <row r="178" spans="1:8" ht="47.25">
      <c r="A178" s="608" t="s">
        <v>659</v>
      </c>
      <c r="B178" s="612" t="s">
        <v>660</v>
      </c>
      <c r="C178" s="610" t="s">
        <v>379</v>
      </c>
      <c r="D178" s="610" t="s">
        <v>379</v>
      </c>
      <c r="E178" s="610" t="s">
        <v>379</v>
      </c>
      <c r="F178" s="610" t="s">
        <v>379</v>
      </c>
      <c r="G178" s="610" t="s">
        <v>379</v>
      </c>
      <c r="H178" s="611" t="s">
        <v>626</v>
      </c>
    </row>
    <row r="179" spans="1:8" ht="31.5">
      <c r="A179" s="608" t="s">
        <v>661</v>
      </c>
      <c r="B179" s="613" t="s">
        <v>662</v>
      </c>
      <c r="C179" s="610" t="s">
        <v>379</v>
      </c>
      <c r="D179" s="610" t="s">
        <v>379</v>
      </c>
      <c r="E179" s="610" t="s">
        <v>379</v>
      </c>
      <c r="F179" s="610" t="s">
        <v>379</v>
      </c>
      <c r="G179" s="610" t="s">
        <v>379</v>
      </c>
      <c r="H179" s="611" t="s">
        <v>626</v>
      </c>
    </row>
    <row r="180" spans="1:8" ht="31.5">
      <c r="A180" s="615" t="s">
        <v>663</v>
      </c>
      <c r="B180" s="616" t="s">
        <v>664</v>
      </c>
      <c r="C180" s="617" t="s">
        <v>379</v>
      </c>
      <c r="D180" s="617" t="s">
        <v>379</v>
      </c>
      <c r="E180" s="617" t="s">
        <v>379</v>
      </c>
      <c r="F180" s="617" t="s">
        <v>379</v>
      </c>
      <c r="G180" s="617" t="s">
        <v>379</v>
      </c>
      <c r="H180" s="618" t="s">
        <v>626</v>
      </c>
    </row>
    <row r="181" spans="1:8" ht="15.75">
      <c r="A181" s="619"/>
      <c r="B181" s="620"/>
      <c r="C181" s="621"/>
      <c r="D181" s="621"/>
      <c r="E181" s="621"/>
      <c r="F181" s="621"/>
      <c r="G181" s="621"/>
      <c r="H181" s="148"/>
    </row>
    <row r="182" spans="1:8" ht="12.75" customHeight="1">
      <c r="A182" s="707" t="s">
        <v>665</v>
      </c>
      <c r="B182" s="707"/>
      <c r="C182" s="707"/>
      <c r="D182" s="707"/>
      <c r="E182" s="707"/>
      <c r="F182" s="707"/>
      <c r="G182" s="707"/>
      <c r="H182" s="707"/>
    </row>
    <row r="183" ht="15.75">
      <c r="H183" s="11"/>
    </row>
    <row r="185" ht="15.75">
      <c r="H185" s="11" t="s">
        <v>609</v>
      </c>
    </row>
    <row r="186" ht="15.75">
      <c r="H186" s="11" t="s">
        <v>610</v>
      </c>
    </row>
    <row r="187" ht="15.75">
      <c r="H187" s="11" t="s">
        <v>611</v>
      </c>
    </row>
    <row r="188" ht="15.75">
      <c r="H188" s="11"/>
    </row>
    <row r="189" spans="1:8" ht="12.75" customHeight="1">
      <c r="A189" s="713" t="s">
        <v>612</v>
      </c>
      <c r="B189" s="713"/>
      <c r="C189" s="713"/>
      <c r="D189" s="713"/>
      <c r="E189" s="713"/>
      <c r="F189" s="713"/>
      <c r="G189" s="713"/>
      <c r="H189" s="713"/>
    </row>
    <row r="190" spans="1:8" ht="12.75" customHeight="1">
      <c r="A190" s="713" t="s">
        <v>613</v>
      </c>
      <c r="B190" s="713"/>
      <c r="C190" s="713"/>
      <c r="D190" s="713"/>
      <c r="E190" s="713"/>
      <c r="F190" s="713"/>
      <c r="G190" s="713"/>
      <c r="H190" s="713"/>
    </row>
    <row r="191" ht="15.75">
      <c r="H191" s="11" t="s">
        <v>43</v>
      </c>
    </row>
    <row r="192" ht="15.75">
      <c r="H192" s="11" t="s">
        <v>44</v>
      </c>
    </row>
    <row r="193" ht="15.75">
      <c r="H193" s="11" t="s">
        <v>45</v>
      </c>
    </row>
    <row r="194" ht="15.75">
      <c r="H194" s="594" t="s">
        <v>614</v>
      </c>
    </row>
    <row r="195" ht="15.75">
      <c r="H195" s="11" t="s">
        <v>615</v>
      </c>
    </row>
    <row r="196" ht="15.75">
      <c r="H196" s="11" t="s">
        <v>47</v>
      </c>
    </row>
    <row r="197" ht="15.75">
      <c r="A197" s="595"/>
    </row>
    <row r="198" ht="15.75">
      <c r="A198" s="3" t="s">
        <v>675</v>
      </c>
    </row>
    <row r="199" spans="1:8" ht="12.75" customHeight="1">
      <c r="A199" s="717" t="s">
        <v>0</v>
      </c>
      <c r="B199" s="714"/>
      <c r="C199" s="714"/>
      <c r="D199" s="714"/>
      <c r="E199" s="714"/>
      <c r="F199" s="714"/>
      <c r="G199" s="714"/>
      <c r="H199" s="714"/>
    </row>
    <row r="200" spans="1:8" ht="16.5" thickBot="1">
      <c r="A200" s="597"/>
      <c r="B200" s="597"/>
      <c r="C200" s="598"/>
      <c r="D200" s="598"/>
      <c r="E200" s="598"/>
      <c r="F200" s="598"/>
      <c r="G200" s="598"/>
      <c r="H200" s="598"/>
    </row>
    <row r="201" spans="1:8" ht="12.75" customHeight="1">
      <c r="A201" s="708" t="s">
        <v>617</v>
      </c>
      <c r="B201" s="710" t="s">
        <v>618</v>
      </c>
      <c r="C201" s="711" t="s">
        <v>619</v>
      </c>
      <c r="D201" s="711"/>
      <c r="E201" s="711"/>
      <c r="F201" s="711"/>
      <c r="G201" s="712" t="s">
        <v>620</v>
      </c>
      <c r="H201" s="708" t="s">
        <v>621</v>
      </c>
    </row>
    <row r="202" spans="1:8" ht="15.75">
      <c r="A202" s="708"/>
      <c r="B202" s="710"/>
      <c r="C202" s="711"/>
      <c r="D202" s="711"/>
      <c r="E202" s="711"/>
      <c r="F202" s="711"/>
      <c r="G202" s="712"/>
      <c r="H202" s="708"/>
    </row>
    <row r="203" spans="1:8" ht="31.5">
      <c r="A203" s="708"/>
      <c r="B203" s="710"/>
      <c r="C203" s="601" t="s">
        <v>622</v>
      </c>
      <c r="D203" s="601" t="s">
        <v>623</v>
      </c>
      <c r="E203" s="602" t="s">
        <v>622</v>
      </c>
      <c r="F203" s="603" t="s">
        <v>623</v>
      </c>
      <c r="G203" s="712"/>
      <c r="H203" s="708"/>
    </row>
    <row r="204" spans="1:8" ht="15.75">
      <c r="A204" s="599">
        <v>1</v>
      </c>
      <c r="B204" s="599">
        <v>2</v>
      </c>
      <c r="C204" s="604">
        <v>3</v>
      </c>
      <c r="D204" s="604">
        <v>4</v>
      </c>
      <c r="E204" s="605"/>
      <c r="F204" s="606"/>
      <c r="G204" s="600">
        <v>5</v>
      </c>
      <c r="H204" s="599">
        <v>6</v>
      </c>
    </row>
    <row r="205" spans="1:8" ht="12.75" customHeight="1">
      <c r="A205" s="607">
        <v>1</v>
      </c>
      <c r="B205" s="709" t="s">
        <v>624</v>
      </c>
      <c r="C205" s="709"/>
      <c r="D205" s="709"/>
      <c r="E205" s="709"/>
      <c r="F205" s="709"/>
      <c r="G205" s="709"/>
      <c r="H205" s="709"/>
    </row>
    <row r="206" spans="1:8" ht="15.75">
      <c r="A206" s="608" t="s">
        <v>74</v>
      </c>
      <c r="B206" s="609" t="s">
        <v>625</v>
      </c>
      <c r="C206" s="610" t="s">
        <v>379</v>
      </c>
      <c r="D206" s="610" t="s">
        <v>379</v>
      </c>
      <c r="E206" s="610" t="s">
        <v>379</v>
      </c>
      <c r="F206" s="610" t="s">
        <v>379</v>
      </c>
      <c r="G206" s="610" t="s">
        <v>379</v>
      </c>
      <c r="H206" s="611" t="s">
        <v>626</v>
      </c>
    </row>
    <row r="207" spans="1:8" ht="15.75">
      <c r="A207" s="608" t="s">
        <v>313</v>
      </c>
      <c r="B207" s="609" t="s">
        <v>627</v>
      </c>
      <c r="C207" s="610" t="s">
        <v>379</v>
      </c>
      <c r="D207" s="610" t="s">
        <v>379</v>
      </c>
      <c r="E207" s="610" t="s">
        <v>379</v>
      </c>
      <c r="F207" s="610" t="s">
        <v>379</v>
      </c>
      <c r="G207" s="610" t="s">
        <v>379</v>
      </c>
      <c r="H207" s="611" t="s">
        <v>626</v>
      </c>
    </row>
    <row r="208" spans="1:8" ht="31.5">
      <c r="A208" s="608" t="s">
        <v>315</v>
      </c>
      <c r="B208" s="612" t="s">
        <v>628</v>
      </c>
      <c r="C208" s="610" t="s">
        <v>379</v>
      </c>
      <c r="D208" s="610" t="s">
        <v>379</v>
      </c>
      <c r="E208" s="610" t="s">
        <v>379</v>
      </c>
      <c r="F208" s="610" t="s">
        <v>379</v>
      </c>
      <c r="G208" s="610" t="s">
        <v>379</v>
      </c>
      <c r="H208" s="611" t="s">
        <v>626</v>
      </c>
    </row>
    <row r="209" spans="1:8" ht="47.25">
      <c r="A209" s="608" t="s">
        <v>317</v>
      </c>
      <c r="B209" s="612" t="s">
        <v>629</v>
      </c>
      <c r="C209" s="610" t="s">
        <v>379</v>
      </c>
      <c r="D209" s="610" t="s">
        <v>379</v>
      </c>
      <c r="E209" s="610" t="s">
        <v>379</v>
      </c>
      <c r="F209" s="610" t="s">
        <v>379</v>
      </c>
      <c r="G209" s="610" t="s">
        <v>379</v>
      </c>
      <c r="H209" s="611" t="s">
        <v>626</v>
      </c>
    </row>
    <row r="210" spans="1:8" ht="15.75">
      <c r="A210" s="608" t="s">
        <v>630</v>
      </c>
      <c r="B210" s="613" t="s">
        <v>631</v>
      </c>
      <c r="C210" s="610" t="s">
        <v>379</v>
      </c>
      <c r="D210" s="610" t="s">
        <v>379</v>
      </c>
      <c r="E210" s="610" t="s">
        <v>379</v>
      </c>
      <c r="F210" s="610" t="s">
        <v>379</v>
      </c>
      <c r="G210" s="610" t="s">
        <v>379</v>
      </c>
      <c r="H210" s="611" t="s">
        <v>626</v>
      </c>
    </row>
    <row r="211" spans="1:8" ht="15.75">
      <c r="A211" s="608" t="s">
        <v>632</v>
      </c>
      <c r="B211" s="613" t="s">
        <v>633</v>
      </c>
      <c r="C211" s="610" t="s">
        <v>379</v>
      </c>
      <c r="D211" s="610" t="s">
        <v>379</v>
      </c>
      <c r="E211" s="610" t="s">
        <v>379</v>
      </c>
      <c r="F211" s="610" t="s">
        <v>379</v>
      </c>
      <c r="G211" s="610" t="s">
        <v>379</v>
      </c>
      <c r="H211" s="611" t="s">
        <v>626</v>
      </c>
    </row>
    <row r="212" spans="1:8" ht="12.75" customHeight="1">
      <c r="A212" s="608">
        <v>2</v>
      </c>
      <c r="B212" s="706" t="s">
        <v>634</v>
      </c>
      <c r="C212" s="706"/>
      <c r="D212" s="706"/>
      <c r="E212" s="706"/>
      <c r="F212" s="706"/>
      <c r="G212" s="706"/>
      <c r="H212" s="706"/>
    </row>
    <row r="213" spans="1:8" ht="31.5">
      <c r="A213" s="608" t="s">
        <v>321</v>
      </c>
      <c r="B213" s="612" t="s">
        <v>635</v>
      </c>
      <c r="C213" s="610" t="s">
        <v>676</v>
      </c>
      <c r="D213" s="610" t="s">
        <v>677</v>
      </c>
      <c r="E213" s="610" t="s">
        <v>379</v>
      </c>
      <c r="F213" s="610" t="s">
        <v>379</v>
      </c>
      <c r="G213" s="614">
        <v>0</v>
      </c>
      <c r="H213" s="611"/>
    </row>
    <row r="214" spans="1:8" ht="47.25">
      <c r="A214" s="608" t="s">
        <v>325</v>
      </c>
      <c r="B214" s="612" t="s">
        <v>638</v>
      </c>
      <c r="C214" s="610" t="s">
        <v>379</v>
      </c>
      <c r="D214" s="610" t="s">
        <v>379</v>
      </c>
      <c r="E214" s="610" t="s">
        <v>379</v>
      </c>
      <c r="F214" s="610" t="s">
        <v>379</v>
      </c>
      <c r="G214" s="610" t="s">
        <v>379</v>
      </c>
      <c r="H214" s="611" t="s">
        <v>626</v>
      </c>
    </row>
    <row r="215" spans="1:8" ht="31.5">
      <c r="A215" s="608" t="s">
        <v>639</v>
      </c>
      <c r="B215" s="612" t="s">
        <v>640</v>
      </c>
      <c r="C215" s="610" t="s">
        <v>379</v>
      </c>
      <c r="D215" s="610" t="s">
        <v>379</v>
      </c>
      <c r="E215" s="610" t="s">
        <v>379</v>
      </c>
      <c r="F215" s="610" t="s">
        <v>379</v>
      </c>
      <c r="G215" s="610" t="s">
        <v>379</v>
      </c>
      <c r="H215" s="611" t="s">
        <v>626</v>
      </c>
    </row>
    <row r="216" spans="1:8" ht="12.75" customHeight="1">
      <c r="A216" s="608">
        <v>3</v>
      </c>
      <c r="B216" s="706" t="s">
        <v>674</v>
      </c>
      <c r="C216" s="706"/>
      <c r="D216" s="706"/>
      <c r="E216" s="706"/>
      <c r="F216" s="706"/>
      <c r="G216" s="706"/>
      <c r="H216" s="706"/>
    </row>
    <row r="217" spans="1:8" ht="31.5">
      <c r="A217" s="608" t="s">
        <v>378</v>
      </c>
      <c r="B217" s="613" t="s">
        <v>642</v>
      </c>
      <c r="C217" s="610" t="s">
        <v>379</v>
      </c>
      <c r="D217" s="610" t="s">
        <v>379</v>
      </c>
      <c r="E217" s="610" t="s">
        <v>379</v>
      </c>
      <c r="F217" s="610" t="s">
        <v>379</v>
      </c>
      <c r="G217" s="610" t="s">
        <v>379</v>
      </c>
      <c r="H217" s="611" t="s">
        <v>626</v>
      </c>
    </row>
    <row r="218" spans="1:8" ht="15.75">
      <c r="A218" s="608" t="s">
        <v>643</v>
      </c>
      <c r="B218" s="613" t="s">
        <v>644</v>
      </c>
      <c r="C218" s="610" t="s">
        <v>676</v>
      </c>
      <c r="D218" s="610" t="s">
        <v>678</v>
      </c>
      <c r="E218" s="610" t="s">
        <v>379</v>
      </c>
      <c r="F218" s="610" t="s">
        <v>379</v>
      </c>
      <c r="G218" s="614">
        <v>0</v>
      </c>
      <c r="H218" s="611"/>
    </row>
    <row r="219" spans="1:8" ht="15.75">
      <c r="A219" s="608" t="s">
        <v>380</v>
      </c>
      <c r="B219" s="613" t="s">
        <v>646</v>
      </c>
      <c r="C219" s="610" t="s">
        <v>679</v>
      </c>
      <c r="D219" s="610" t="s">
        <v>680</v>
      </c>
      <c r="E219" s="610" t="s">
        <v>379</v>
      </c>
      <c r="F219" s="610" t="s">
        <v>379</v>
      </c>
      <c r="G219" s="614">
        <v>0</v>
      </c>
      <c r="H219" s="611"/>
    </row>
    <row r="220" spans="1:8" ht="15.75">
      <c r="A220" s="608" t="s">
        <v>649</v>
      </c>
      <c r="B220" s="613" t="s">
        <v>650</v>
      </c>
      <c r="C220" s="610" t="s">
        <v>681</v>
      </c>
      <c r="D220" s="610" t="s">
        <v>682</v>
      </c>
      <c r="E220" s="610" t="s">
        <v>379</v>
      </c>
      <c r="F220" s="610" t="s">
        <v>379</v>
      </c>
      <c r="G220" s="614">
        <v>0</v>
      </c>
      <c r="H220" s="611"/>
    </row>
    <row r="221" spans="1:8" ht="15.75">
      <c r="A221" s="608" t="s">
        <v>653</v>
      </c>
      <c r="B221" s="613" t="s">
        <v>654</v>
      </c>
      <c r="C221" s="610" t="s">
        <v>682</v>
      </c>
      <c r="D221" s="610" t="s">
        <v>677</v>
      </c>
      <c r="E221" s="610" t="s">
        <v>379</v>
      </c>
      <c r="F221" s="610" t="s">
        <v>379</v>
      </c>
      <c r="G221" s="614">
        <v>0</v>
      </c>
      <c r="H221" s="611"/>
    </row>
    <row r="222" spans="1:8" ht="12.75" customHeight="1">
      <c r="A222" s="608">
        <v>4</v>
      </c>
      <c r="B222" s="706" t="s">
        <v>656</v>
      </c>
      <c r="C222" s="706"/>
      <c r="D222" s="706"/>
      <c r="E222" s="706"/>
      <c r="F222" s="706"/>
      <c r="G222" s="706"/>
      <c r="H222" s="706"/>
    </row>
    <row r="223" spans="1:8" ht="31.5">
      <c r="A223" s="608" t="s">
        <v>657</v>
      </c>
      <c r="B223" s="612" t="s">
        <v>658</v>
      </c>
      <c r="C223" s="610" t="s">
        <v>379</v>
      </c>
      <c r="D223" s="610" t="s">
        <v>379</v>
      </c>
      <c r="E223" s="610" t="s">
        <v>379</v>
      </c>
      <c r="F223" s="610" t="s">
        <v>379</v>
      </c>
      <c r="G223" s="610" t="s">
        <v>379</v>
      </c>
      <c r="H223" s="611" t="s">
        <v>626</v>
      </c>
    </row>
    <row r="224" spans="1:8" ht="47.25">
      <c r="A224" s="608" t="s">
        <v>659</v>
      </c>
      <c r="B224" s="612" t="s">
        <v>660</v>
      </c>
      <c r="C224" s="610" t="s">
        <v>379</v>
      </c>
      <c r="D224" s="610" t="s">
        <v>379</v>
      </c>
      <c r="E224" s="610" t="s">
        <v>379</v>
      </c>
      <c r="F224" s="610" t="s">
        <v>379</v>
      </c>
      <c r="G224" s="610" t="s">
        <v>379</v>
      </c>
      <c r="H224" s="611" t="s">
        <v>626</v>
      </c>
    </row>
    <row r="225" spans="1:8" ht="31.5">
      <c r="A225" s="608" t="s">
        <v>661</v>
      </c>
      <c r="B225" s="613" t="s">
        <v>662</v>
      </c>
      <c r="C225" s="610" t="s">
        <v>379</v>
      </c>
      <c r="D225" s="610" t="s">
        <v>379</v>
      </c>
      <c r="E225" s="610" t="s">
        <v>379</v>
      </c>
      <c r="F225" s="610" t="s">
        <v>379</v>
      </c>
      <c r="G225" s="610" t="s">
        <v>379</v>
      </c>
      <c r="H225" s="611" t="s">
        <v>626</v>
      </c>
    </row>
    <row r="226" spans="1:8" ht="31.5">
      <c r="A226" s="615" t="s">
        <v>663</v>
      </c>
      <c r="B226" s="616" t="s">
        <v>664</v>
      </c>
      <c r="C226" s="617" t="s">
        <v>379</v>
      </c>
      <c r="D226" s="617" t="s">
        <v>379</v>
      </c>
      <c r="E226" s="617" t="s">
        <v>379</v>
      </c>
      <c r="F226" s="617" t="s">
        <v>379</v>
      </c>
      <c r="G226" s="617" t="s">
        <v>379</v>
      </c>
      <c r="H226" s="618" t="s">
        <v>626</v>
      </c>
    </row>
    <row r="227" spans="1:8" ht="15.75">
      <c r="A227" s="619"/>
      <c r="B227" s="620"/>
      <c r="C227" s="621"/>
      <c r="D227" s="621"/>
      <c r="E227" s="621"/>
      <c r="F227" s="621"/>
      <c r="G227" s="621"/>
      <c r="H227" s="148"/>
    </row>
    <row r="228" spans="1:8" ht="12.75" customHeight="1">
      <c r="A228" s="707" t="s">
        <v>665</v>
      </c>
      <c r="B228" s="707"/>
      <c r="C228" s="707"/>
      <c r="D228" s="707"/>
      <c r="E228" s="707"/>
      <c r="F228" s="707"/>
      <c r="G228" s="707"/>
      <c r="H228" s="707"/>
    </row>
    <row r="229" spans="1:8" ht="15.75">
      <c r="A229" s="622"/>
      <c r="B229" s="622"/>
      <c r="C229" s="622"/>
      <c r="D229" s="622"/>
      <c r="E229" s="622"/>
      <c r="F229" s="622"/>
      <c r="G229" s="622"/>
      <c r="H229" s="622"/>
    </row>
    <row r="230" spans="1:8" ht="15.75">
      <c r="A230" s="622"/>
      <c r="B230" s="622"/>
      <c r="C230" s="622"/>
      <c r="D230" s="622"/>
      <c r="E230" s="622"/>
      <c r="F230" s="622"/>
      <c r="G230" s="622"/>
      <c r="H230" s="622"/>
    </row>
    <row r="231" ht="15.75">
      <c r="H231" s="11" t="s">
        <v>609</v>
      </c>
    </row>
    <row r="232" ht="15.75">
      <c r="H232" s="11" t="s">
        <v>610</v>
      </c>
    </row>
    <row r="233" ht="15.75">
      <c r="H233" s="11" t="s">
        <v>611</v>
      </c>
    </row>
    <row r="234" ht="15.75">
      <c r="H234" s="11"/>
    </row>
    <row r="235" spans="1:8" ht="12.75" customHeight="1">
      <c r="A235" s="713" t="s">
        <v>612</v>
      </c>
      <c r="B235" s="713"/>
      <c r="C235" s="713"/>
      <c r="D235" s="713"/>
      <c r="E235" s="713"/>
      <c r="F235" s="713"/>
      <c r="G235" s="713"/>
      <c r="H235" s="713"/>
    </row>
    <row r="236" spans="1:8" ht="12.75" customHeight="1">
      <c r="A236" s="713" t="s">
        <v>613</v>
      </c>
      <c r="B236" s="713"/>
      <c r="C236" s="713"/>
      <c r="D236" s="713"/>
      <c r="E236" s="713"/>
      <c r="F236" s="713"/>
      <c r="G236" s="713"/>
      <c r="H236" s="713"/>
    </row>
    <row r="237" ht="15.75">
      <c r="H237" s="11" t="s">
        <v>43</v>
      </c>
    </row>
    <row r="238" ht="15.75">
      <c r="H238" s="11" t="s">
        <v>44</v>
      </c>
    </row>
    <row r="239" ht="15.75">
      <c r="H239" s="11" t="s">
        <v>45</v>
      </c>
    </row>
    <row r="240" ht="15.75">
      <c r="H240" s="594" t="s">
        <v>614</v>
      </c>
    </row>
    <row r="241" ht="15.75">
      <c r="H241" s="11" t="s">
        <v>615</v>
      </c>
    </row>
    <row r="242" ht="15.75">
      <c r="H242" s="11" t="s">
        <v>47</v>
      </c>
    </row>
    <row r="243" ht="15.75">
      <c r="A243" s="595"/>
    </row>
    <row r="244" ht="15.75">
      <c r="A244" s="3" t="s">
        <v>683</v>
      </c>
    </row>
    <row r="245" spans="1:8" ht="12.75" customHeight="1">
      <c r="A245" s="717" t="s">
        <v>0</v>
      </c>
      <c r="B245" s="714"/>
      <c r="C245" s="714"/>
      <c r="D245" s="714"/>
      <c r="E245" s="714"/>
      <c r="F245" s="714"/>
      <c r="G245" s="714"/>
      <c r="H245" s="714"/>
    </row>
    <row r="246" spans="1:8" ht="16.5" thickBot="1">
      <c r="A246" s="597"/>
      <c r="B246" s="597"/>
      <c r="C246" s="598"/>
      <c r="D246" s="598"/>
      <c r="E246" s="598"/>
      <c r="F246" s="598"/>
      <c r="G246" s="598"/>
      <c r="H246" s="598"/>
    </row>
    <row r="247" spans="1:8" ht="12.75" customHeight="1">
      <c r="A247" s="708" t="s">
        <v>617</v>
      </c>
      <c r="B247" s="710" t="s">
        <v>618</v>
      </c>
      <c r="C247" s="711" t="s">
        <v>619</v>
      </c>
      <c r="D247" s="711"/>
      <c r="E247" s="711"/>
      <c r="F247" s="711"/>
      <c r="G247" s="712" t="s">
        <v>620</v>
      </c>
      <c r="H247" s="708" t="s">
        <v>621</v>
      </c>
    </row>
    <row r="248" spans="1:8" ht="15.75">
      <c r="A248" s="708"/>
      <c r="B248" s="710"/>
      <c r="C248" s="711"/>
      <c r="D248" s="711"/>
      <c r="E248" s="711"/>
      <c r="F248" s="711"/>
      <c r="G248" s="712"/>
      <c r="H248" s="708"/>
    </row>
    <row r="249" spans="1:8" ht="31.5">
      <c r="A249" s="708"/>
      <c r="B249" s="710"/>
      <c r="C249" s="601" t="s">
        <v>622</v>
      </c>
      <c r="D249" s="601" t="s">
        <v>623</v>
      </c>
      <c r="E249" s="602" t="s">
        <v>622</v>
      </c>
      <c r="F249" s="603" t="s">
        <v>623</v>
      </c>
      <c r="G249" s="712"/>
      <c r="H249" s="708"/>
    </row>
    <row r="250" spans="1:8" ht="15.75">
      <c r="A250" s="599">
        <v>1</v>
      </c>
      <c r="B250" s="599">
        <v>2</v>
      </c>
      <c r="C250" s="604">
        <v>3</v>
      </c>
      <c r="D250" s="604">
        <v>4</v>
      </c>
      <c r="E250" s="605"/>
      <c r="F250" s="606"/>
      <c r="G250" s="600">
        <v>5</v>
      </c>
      <c r="H250" s="599">
        <v>6</v>
      </c>
    </row>
    <row r="251" spans="1:8" ht="12.75" customHeight="1">
      <c r="A251" s="607">
        <v>1</v>
      </c>
      <c r="B251" s="709" t="s">
        <v>624</v>
      </c>
      <c r="C251" s="709"/>
      <c r="D251" s="709"/>
      <c r="E251" s="709"/>
      <c r="F251" s="709"/>
      <c r="G251" s="709"/>
      <c r="H251" s="709"/>
    </row>
    <row r="252" spans="1:8" ht="15.75">
      <c r="A252" s="608" t="s">
        <v>74</v>
      </c>
      <c r="B252" s="609" t="s">
        <v>625</v>
      </c>
      <c r="C252" s="610" t="s">
        <v>379</v>
      </c>
      <c r="D252" s="610" t="s">
        <v>379</v>
      </c>
      <c r="E252" s="610" t="s">
        <v>379</v>
      </c>
      <c r="F252" s="610" t="s">
        <v>379</v>
      </c>
      <c r="G252" s="610" t="s">
        <v>379</v>
      </c>
      <c r="H252" s="611" t="s">
        <v>626</v>
      </c>
    </row>
    <row r="253" spans="1:8" ht="15.75">
      <c r="A253" s="608" t="s">
        <v>313</v>
      </c>
      <c r="B253" s="609" t="s">
        <v>627</v>
      </c>
      <c r="C253" s="610" t="s">
        <v>379</v>
      </c>
      <c r="D253" s="610" t="s">
        <v>379</v>
      </c>
      <c r="E253" s="610" t="s">
        <v>379</v>
      </c>
      <c r="F253" s="610" t="s">
        <v>379</v>
      </c>
      <c r="G253" s="610" t="s">
        <v>379</v>
      </c>
      <c r="H253" s="611" t="s">
        <v>626</v>
      </c>
    </row>
    <row r="254" spans="1:8" ht="31.5">
      <c r="A254" s="608" t="s">
        <v>315</v>
      </c>
      <c r="B254" s="612" t="s">
        <v>628</v>
      </c>
      <c r="C254" s="610" t="s">
        <v>379</v>
      </c>
      <c r="D254" s="610" t="s">
        <v>379</v>
      </c>
      <c r="E254" s="610" t="s">
        <v>379</v>
      </c>
      <c r="F254" s="610" t="s">
        <v>379</v>
      </c>
      <c r="G254" s="610" t="s">
        <v>379</v>
      </c>
      <c r="H254" s="611" t="s">
        <v>626</v>
      </c>
    </row>
    <row r="255" spans="1:8" ht="47.25">
      <c r="A255" s="608" t="s">
        <v>317</v>
      </c>
      <c r="B255" s="612" t="s">
        <v>629</v>
      </c>
      <c r="C255" s="610" t="s">
        <v>379</v>
      </c>
      <c r="D255" s="610" t="s">
        <v>379</v>
      </c>
      <c r="E255" s="610" t="s">
        <v>379</v>
      </c>
      <c r="F255" s="610" t="s">
        <v>379</v>
      </c>
      <c r="G255" s="610" t="s">
        <v>379</v>
      </c>
      <c r="H255" s="611" t="s">
        <v>626</v>
      </c>
    </row>
    <row r="256" spans="1:8" ht="15.75">
      <c r="A256" s="608" t="s">
        <v>630</v>
      </c>
      <c r="B256" s="613" t="s">
        <v>631</v>
      </c>
      <c r="C256" s="610" t="s">
        <v>379</v>
      </c>
      <c r="D256" s="610" t="s">
        <v>379</v>
      </c>
      <c r="E256" s="610" t="s">
        <v>379</v>
      </c>
      <c r="F256" s="610" t="s">
        <v>379</v>
      </c>
      <c r="G256" s="610" t="s">
        <v>379</v>
      </c>
      <c r="H256" s="611" t="s">
        <v>626</v>
      </c>
    </row>
    <row r="257" spans="1:8" ht="15.75">
      <c r="A257" s="608" t="s">
        <v>632</v>
      </c>
      <c r="B257" s="613" t="s">
        <v>633</v>
      </c>
      <c r="C257" s="610" t="s">
        <v>379</v>
      </c>
      <c r="D257" s="610" t="s">
        <v>379</v>
      </c>
      <c r="E257" s="610" t="s">
        <v>379</v>
      </c>
      <c r="F257" s="610" t="s">
        <v>379</v>
      </c>
      <c r="G257" s="610" t="s">
        <v>379</v>
      </c>
      <c r="H257" s="611" t="s">
        <v>626</v>
      </c>
    </row>
    <row r="258" spans="1:8" ht="12.75" customHeight="1">
      <c r="A258" s="608">
        <v>2</v>
      </c>
      <c r="B258" s="706" t="s">
        <v>634</v>
      </c>
      <c r="C258" s="706"/>
      <c r="D258" s="706"/>
      <c r="E258" s="706"/>
      <c r="F258" s="706"/>
      <c r="G258" s="706"/>
      <c r="H258" s="706"/>
    </row>
    <row r="259" spans="1:8" ht="31.5">
      <c r="A259" s="608" t="s">
        <v>321</v>
      </c>
      <c r="B259" s="612" t="s">
        <v>635</v>
      </c>
      <c r="C259" s="610" t="s">
        <v>636</v>
      </c>
      <c r="D259" s="610" t="s">
        <v>670</v>
      </c>
      <c r="E259" s="610" t="s">
        <v>379</v>
      </c>
      <c r="F259" s="610" t="s">
        <v>379</v>
      </c>
      <c r="G259" s="614">
        <v>0</v>
      </c>
      <c r="H259" s="611"/>
    </row>
    <row r="260" spans="1:8" ht="47.25">
      <c r="A260" s="608" t="s">
        <v>325</v>
      </c>
      <c r="B260" s="612" t="s">
        <v>638</v>
      </c>
      <c r="C260" s="610" t="s">
        <v>379</v>
      </c>
      <c r="D260" s="610" t="s">
        <v>379</v>
      </c>
      <c r="E260" s="610" t="s">
        <v>379</v>
      </c>
      <c r="F260" s="610" t="s">
        <v>379</v>
      </c>
      <c r="G260" s="610" t="s">
        <v>379</v>
      </c>
      <c r="H260" s="611" t="s">
        <v>626</v>
      </c>
    </row>
    <row r="261" spans="1:8" ht="31.5">
      <c r="A261" s="608" t="s">
        <v>639</v>
      </c>
      <c r="B261" s="612" t="s">
        <v>640</v>
      </c>
      <c r="C261" s="610" t="s">
        <v>379</v>
      </c>
      <c r="D261" s="610" t="s">
        <v>379</v>
      </c>
      <c r="E261" s="610" t="s">
        <v>379</v>
      </c>
      <c r="F261" s="610" t="s">
        <v>379</v>
      </c>
      <c r="G261" s="610" t="s">
        <v>379</v>
      </c>
      <c r="H261" s="611" t="s">
        <v>626</v>
      </c>
    </row>
    <row r="262" spans="1:8" ht="12.75" customHeight="1">
      <c r="A262" s="608">
        <v>3</v>
      </c>
      <c r="B262" s="706" t="s">
        <v>674</v>
      </c>
      <c r="C262" s="706"/>
      <c r="D262" s="706"/>
      <c r="E262" s="706"/>
      <c r="F262" s="706"/>
      <c r="G262" s="706"/>
      <c r="H262" s="706"/>
    </row>
    <row r="263" spans="1:8" ht="31.5">
      <c r="A263" s="608" t="s">
        <v>378</v>
      </c>
      <c r="B263" s="613" t="s">
        <v>642</v>
      </c>
      <c r="C263" s="610" t="s">
        <v>379</v>
      </c>
      <c r="D263" s="610" t="s">
        <v>379</v>
      </c>
      <c r="E263" s="610" t="s">
        <v>379</v>
      </c>
      <c r="F263" s="610" t="s">
        <v>379</v>
      </c>
      <c r="G263" s="610" t="s">
        <v>379</v>
      </c>
      <c r="H263" s="611" t="s">
        <v>626</v>
      </c>
    </row>
    <row r="264" spans="1:8" ht="15.75">
      <c r="A264" s="608" t="s">
        <v>643</v>
      </c>
      <c r="B264" s="613" t="s">
        <v>644</v>
      </c>
      <c r="C264" s="610" t="s">
        <v>636</v>
      </c>
      <c r="D264" s="610" t="s">
        <v>671</v>
      </c>
      <c r="E264" s="610" t="s">
        <v>379</v>
      </c>
      <c r="F264" s="610" t="s">
        <v>379</v>
      </c>
      <c r="G264" s="614">
        <v>0</v>
      </c>
      <c r="H264" s="611"/>
    </row>
    <row r="265" spans="1:8" ht="15.75">
      <c r="A265" s="608" t="s">
        <v>380</v>
      </c>
      <c r="B265" s="613" t="s">
        <v>646</v>
      </c>
      <c r="C265" s="610" t="s">
        <v>647</v>
      </c>
      <c r="D265" s="610" t="s">
        <v>651</v>
      </c>
      <c r="E265" s="610" t="s">
        <v>379</v>
      </c>
      <c r="F265" s="610" t="s">
        <v>379</v>
      </c>
      <c r="G265" s="614">
        <v>0</v>
      </c>
      <c r="H265" s="611"/>
    </row>
    <row r="266" spans="1:8" ht="15.75">
      <c r="A266" s="608" t="s">
        <v>649</v>
      </c>
      <c r="B266" s="613" t="s">
        <v>650</v>
      </c>
      <c r="C266" s="610" t="s">
        <v>651</v>
      </c>
      <c r="D266" s="610" t="s">
        <v>672</v>
      </c>
      <c r="E266" s="610" t="s">
        <v>379</v>
      </c>
      <c r="F266" s="610" t="s">
        <v>379</v>
      </c>
      <c r="G266" s="614">
        <v>0</v>
      </c>
      <c r="H266" s="611"/>
    </row>
    <row r="267" spans="1:8" ht="15.75">
      <c r="A267" s="608" t="s">
        <v>653</v>
      </c>
      <c r="B267" s="613" t="s">
        <v>654</v>
      </c>
      <c r="C267" s="610" t="s">
        <v>672</v>
      </c>
      <c r="D267" s="610" t="s">
        <v>670</v>
      </c>
      <c r="E267" s="610" t="s">
        <v>379</v>
      </c>
      <c r="F267" s="610" t="s">
        <v>379</v>
      </c>
      <c r="G267" s="614">
        <v>0</v>
      </c>
      <c r="H267" s="611"/>
    </row>
    <row r="268" spans="1:8" ht="12.75" customHeight="1">
      <c r="A268" s="608">
        <v>4</v>
      </c>
      <c r="B268" s="706" t="s">
        <v>656</v>
      </c>
      <c r="C268" s="706"/>
      <c r="D268" s="706"/>
      <c r="E268" s="706"/>
      <c r="F268" s="706"/>
      <c r="G268" s="706"/>
      <c r="H268" s="706"/>
    </row>
    <row r="269" spans="1:8" ht="31.5">
      <c r="A269" s="608" t="s">
        <v>657</v>
      </c>
      <c r="B269" s="612" t="s">
        <v>658</v>
      </c>
      <c r="C269" s="610" t="s">
        <v>379</v>
      </c>
      <c r="D269" s="610" t="s">
        <v>379</v>
      </c>
      <c r="E269" s="610" t="s">
        <v>379</v>
      </c>
      <c r="F269" s="610" t="s">
        <v>379</v>
      </c>
      <c r="G269" s="610" t="s">
        <v>379</v>
      </c>
      <c r="H269" s="611" t="s">
        <v>626</v>
      </c>
    </row>
    <row r="270" spans="1:8" ht="47.25">
      <c r="A270" s="608" t="s">
        <v>659</v>
      </c>
      <c r="B270" s="612" t="s">
        <v>660</v>
      </c>
      <c r="C270" s="610" t="s">
        <v>379</v>
      </c>
      <c r="D270" s="610" t="s">
        <v>379</v>
      </c>
      <c r="E270" s="610" t="s">
        <v>379</v>
      </c>
      <c r="F270" s="610" t="s">
        <v>379</v>
      </c>
      <c r="G270" s="610" t="s">
        <v>379</v>
      </c>
      <c r="H270" s="611" t="s">
        <v>626</v>
      </c>
    </row>
    <row r="271" spans="1:8" ht="31.5">
      <c r="A271" s="608" t="s">
        <v>661</v>
      </c>
      <c r="B271" s="613" t="s">
        <v>662</v>
      </c>
      <c r="C271" s="610" t="s">
        <v>379</v>
      </c>
      <c r="D271" s="610" t="s">
        <v>379</v>
      </c>
      <c r="E271" s="610" t="s">
        <v>379</v>
      </c>
      <c r="F271" s="610" t="s">
        <v>379</v>
      </c>
      <c r="G271" s="610" t="s">
        <v>379</v>
      </c>
      <c r="H271" s="611" t="s">
        <v>626</v>
      </c>
    </row>
    <row r="272" spans="1:8" ht="31.5">
      <c r="A272" s="615" t="s">
        <v>663</v>
      </c>
      <c r="B272" s="616" t="s">
        <v>664</v>
      </c>
      <c r="C272" s="617" t="s">
        <v>379</v>
      </c>
      <c r="D272" s="617" t="s">
        <v>379</v>
      </c>
      <c r="E272" s="617" t="s">
        <v>379</v>
      </c>
      <c r="F272" s="617" t="s">
        <v>379</v>
      </c>
      <c r="G272" s="617" t="s">
        <v>379</v>
      </c>
      <c r="H272" s="618" t="s">
        <v>626</v>
      </c>
    </row>
    <row r="273" spans="1:8" ht="15.75">
      <c r="A273" s="619"/>
      <c r="B273" s="620"/>
      <c r="C273" s="621"/>
      <c r="D273" s="621"/>
      <c r="E273" s="621"/>
      <c r="F273" s="621"/>
      <c r="G273" s="621"/>
      <c r="H273" s="148"/>
    </row>
    <row r="274" spans="1:8" ht="12.75" customHeight="1">
      <c r="A274" s="707" t="s">
        <v>665</v>
      </c>
      <c r="B274" s="707"/>
      <c r="C274" s="707"/>
      <c r="D274" s="707"/>
      <c r="E274" s="707"/>
      <c r="F274" s="707"/>
      <c r="G274" s="707"/>
      <c r="H274" s="707"/>
    </row>
    <row r="275" spans="1:8" ht="15.75">
      <c r="A275" s="592"/>
      <c r="B275" s="592"/>
      <c r="C275" s="592"/>
      <c r="D275" s="592"/>
      <c r="E275" s="592"/>
      <c r="F275" s="592"/>
      <c r="G275" s="592"/>
      <c r="H275" s="592"/>
    </row>
    <row r="277" ht="15.75">
      <c r="H277" s="11" t="s">
        <v>609</v>
      </c>
    </row>
    <row r="278" ht="15.75">
      <c r="H278" s="11" t="s">
        <v>610</v>
      </c>
    </row>
    <row r="279" ht="15.75">
      <c r="H279" s="11" t="s">
        <v>611</v>
      </c>
    </row>
    <row r="280" ht="15.75">
      <c r="H280" s="11"/>
    </row>
    <row r="281" spans="1:8" ht="12.75" customHeight="1">
      <c r="A281" s="713" t="s">
        <v>612</v>
      </c>
      <c r="B281" s="713"/>
      <c r="C281" s="713"/>
      <c r="D281" s="713"/>
      <c r="E281" s="713"/>
      <c r="F281" s="713"/>
      <c r="G281" s="713"/>
      <c r="H281" s="713"/>
    </row>
    <row r="282" spans="1:8" ht="12.75" customHeight="1">
      <c r="A282" s="713" t="s">
        <v>613</v>
      </c>
      <c r="B282" s="713"/>
      <c r="C282" s="713"/>
      <c r="D282" s="713"/>
      <c r="E282" s="713"/>
      <c r="F282" s="713"/>
      <c r="G282" s="713"/>
      <c r="H282" s="713"/>
    </row>
    <row r="283" ht="15.75">
      <c r="H283" s="11" t="s">
        <v>43</v>
      </c>
    </row>
    <row r="284" ht="15.75">
      <c r="H284" s="11" t="s">
        <v>44</v>
      </c>
    </row>
    <row r="285" ht="15.75">
      <c r="H285" s="11" t="s">
        <v>45</v>
      </c>
    </row>
    <row r="286" ht="15.75">
      <c r="H286" s="594" t="s">
        <v>614</v>
      </c>
    </row>
    <row r="287" ht="15.75">
      <c r="H287" s="11" t="s">
        <v>615</v>
      </c>
    </row>
    <row r="288" ht="15.75">
      <c r="H288" s="11" t="s">
        <v>47</v>
      </c>
    </row>
    <row r="289" ht="15.75">
      <c r="A289" s="595"/>
    </row>
    <row r="290" spans="1:8" ht="12.75" customHeight="1">
      <c r="A290" s="714" t="s">
        <v>684</v>
      </c>
      <c r="B290" s="714"/>
      <c r="C290" s="714"/>
      <c r="D290" s="714"/>
      <c r="E290" s="714"/>
      <c r="F290" s="714"/>
      <c r="G290" s="714"/>
      <c r="H290" s="714"/>
    </row>
    <row r="291" spans="1:8" ht="12.75" customHeight="1">
      <c r="A291" s="717" t="s">
        <v>0</v>
      </c>
      <c r="B291" s="714"/>
      <c r="C291" s="714"/>
      <c r="D291" s="714"/>
      <c r="E291" s="714"/>
      <c r="F291" s="714"/>
      <c r="G291" s="714"/>
      <c r="H291" s="714"/>
    </row>
    <row r="292" spans="1:8" ht="16.5" thickBot="1">
      <c r="A292" s="597"/>
      <c r="B292" s="597"/>
      <c r="C292" s="598"/>
      <c r="D292" s="598"/>
      <c r="E292" s="598"/>
      <c r="F292" s="598"/>
      <c r="G292" s="598"/>
      <c r="H292" s="598"/>
    </row>
    <row r="293" spans="1:8" ht="12.75" customHeight="1">
      <c r="A293" s="708" t="s">
        <v>617</v>
      </c>
      <c r="B293" s="710" t="s">
        <v>618</v>
      </c>
      <c r="C293" s="711" t="s">
        <v>619</v>
      </c>
      <c r="D293" s="711"/>
      <c r="E293" s="711"/>
      <c r="F293" s="711"/>
      <c r="G293" s="712" t="s">
        <v>620</v>
      </c>
      <c r="H293" s="708" t="s">
        <v>621</v>
      </c>
    </row>
    <row r="294" spans="1:8" ht="15.75">
      <c r="A294" s="708"/>
      <c r="B294" s="710"/>
      <c r="C294" s="711"/>
      <c r="D294" s="711"/>
      <c r="E294" s="711"/>
      <c r="F294" s="711"/>
      <c r="G294" s="712"/>
      <c r="H294" s="708"/>
    </row>
    <row r="295" spans="1:8" ht="31.5">
      <c r="A295" s="708"/>
      <c r="B295" s="710"/>
      <c r="C295" s="601" t="s">
        <v>622</v>
      </c>
      <c r="D295" s="601" t="s">
        <v>623</v>
      </c>
      <c r="E295" s="602" t="s">
        <v>622</v>
      </c>
      <c r="F295" s="603" t="s">
        <v>623</v>
      </c>
      <c r="G295" s="712"/>
      <c r="H295" s="708"/>
    </row>
    <row r="296" spans="1:8" ht="15.75">
      <c r="A296" s="599">
        <v>1</v>
      </c>
      <c r="B296" s="599">
        <v>2</v>
      </c>
      <c r="C296" s="604">
        <v>3</v>
      </c>
      <c r="D296" s="604">
        <v>4</v>
      </c>
      <c r="E296" s="605"/>
      <c r="F296" s="606"/>
      <c r="G296" s="600">
        <v>5</v>
      </c>
      <c r="H296" s="599">
        <v>6</v>
      </c>
    </row>
    <row r="297" spans="1:8" ht="12.75" customHeight="1">
      <c r="A297" s="607">
        <v>1</v>
      </c>
      <c r="B297" s="709" t="s">
        <v>624</v>
      </c>
      <c r="C297" s="709"/>
      <c r="D297" s="709"/>
      <c r="E297" s="709"/>
      <c r="F297" s="709"/>
      <c r="G297" s="709"/>
      <c r="H297" s="709"/>
    </row>
    <row r="298" spans="1:8" ht="15.75">
      <c r="A298" s="608" t="s">
        <v>74</v>
      </c>
      <c r="B298" s="609" t="s">
        <v>625</v>
      </c>
      <c r="C298" s="610" t="s">
        <v>379</v>
      </c>
      <c r="D298" s="610" t="s">
        <v>379</v>
      </c>
      <c r="E298" s="610" t="s">
        <v>379</v>
      </c>
      <c r="F298" s="610" t="s">
        <v>379</v>
      </c>
      <c r="G298" s="610" t="s">
        <v>379</v>
      </c>
      <c r="H298" s="611" t="s">
        <v>626</v>
      </c>
    </row>
    <row r="299" spans="1:8" ht="15.75">
      <c r="A299" s="608" t="s">
        <v>313</v>
      </c>
      <c r="B299" s="609" t="s">
        <v>627</v>
      </c>
      <c r="C299" s="610" t="s">
        <v>379</v>
      </c>
      <c r="D299" s="610" t="s">
        <v>379</v>
      </c>
      <c r="E299" s="610" t="s">
        <v>379</v>
      </c>
      <c r="F299" s="610" t="s">
        <v>379</v>
      </c>
      <c r="G299" s="610" t="s">
        <v>379</v>
      </c>
      <c r="H299" s="611" t="s">
        <v>626</v>
      </c>
    </row>
    <row r="300" spans="1:8" ht="31.5">
      <c r="A300" s="608" t="s">
        <v>315</v>
      </c>
      <c r="B300" s="612" t="s">
        <v>628</v>
      </c>
      <c r="C300" s="610" t="s">
        <v>379</v>
      </c>
      <c r="D300" s="610" t="s">
        <v>379</v>
      </c>
      <c r="E300" s="610" t="s">
        <v>379</v>
      </c>
      <c r="F300" s="610" t="s">
        <v>379</v>
      </c>
      <c r="G300" s="610" t="s">
        <v>379</v>
      </c>
      <c r="H300" s="611" t="s">
        <v>626</v>
      </c>
    </row>
    <row r="301" spans="1:8" ht="47.25">
      <c r="A301" s="608" t="s">
        <v>317</v>
      </c>
      <c r="B301" s="612" t="s">
        <v>629</v>
      </c>
      <c r="C301" s="610" t="s">
        <v>379</v>
      </c>
      <c r="D301" s="610" t="s">
        <v>379</v>
      </c>
      <c r="E301" s="610" t="s">
        <v>379</v>
      </c>
      <c r="F301" s="610" t="s">
        <v>379</v>
      </c>
      <c r="G301" s="610" t="s">
        <v>379</v>
      </c>
      <c r="H301" s="611" t="s">
        <v>626</v>
      </c>
    </row>
    <row r="302" spans="1:8" ht="15.75">
      <c r="A302" s="608" t="s">
        <v>630</v>
      </c>
      <c r="B302" s="613" t="s">
        <v>631</v>
      </c>
      <c r="C302" s="610" t="s">
        <v>379</v>
      </c>
      <c r="D302" s="610" t="s">
        <v>379</v>
      </c>
      <c r="E302" s="610" t="s">
        <v>379</v>
      </c>
      <c r="F302" s="610" t="s">
        <v>379</v>
      </c>
      <c r="G302" s="610" t="s">
        <v>379</v>
      </c>
      <c r="H302" s="611" t="s">
        <v>626</v>
      </c>
    </row>
    <row r="303" spans="1:8" ht="15.75">
      <c r="A303" s="608" t="s">
        <v>632</v>
      </c>
      <c r="B303" s="613" t="s">
        <v>633</v>
      </c>
      <c r="C303" s="610" t="s">
        <v>379</v>
      </c>
      <c r="D303" s="610" t="s">
        <v>379</v>
      </c>
      <c r="E303" s="610" t="s">
        <v>379</v>
      </c>
      <c r="F303" s="610" t="s">
        <v>379</v>
      </c>
      <c r="G303" s="610" t="s">
        <v>379</v>
      </c>
      <c r="H303" s="611" t="s">
        <v>626</v>
      </c>
    </row>
    <row r="304" spans="1:8" ht="12.75" customHeight="1">
      <c r="A304" s="608">
        <v>2</v>
      </c>
      <c r="B304" s="706" t="s">
        <v>634</v>
      </c>
      <c r="C304" s="706"/>
      <c r="D304" s="706"/>
      <c r="E304" s="706"/>
      <c r="F304" s="706"/>
      <c r="G304" s="706"/>
      <c r="H304" s="706"/>
    </row>
    <row r="305" spans="1:8" ht="31.5">
      <c r="A305" s="608" t="s">
        <v>321</v>
      </c>
      <c r="B305" s="612" t="s">
        <v>635</v>
      </c>
      <c r="C305" s="610" t="s">
        <v>685</v>
      </c>
      <c r="D305" s="610" t="s">
        <v>686</v>
      </c>
      <c r="E305" s="610" t="s">
        <v>379</v>
      </c>
      <c r="F305" s="610" t="s">
        <v>379</v>
      </c>
      <c r="G305" s="614">
        <v>0</v>
      </c>
      <c r="H305" s="611"/>
    </row>
    <row r="306" spans="1:8" ht="47.25">
      <c r="A306" s="608" t="s">
        <v>325</v>
      </c>
      <c r="B306" s="612" t="s">
        <v>638</v>
      </c>
      <c r="C306" s="610" t="s">
        <v>379</v>
      </c>
      <c r="D306" s="610" t="s">
        <v>379</v>
      </c>
      <c r="E306" s="610" t="s">
        <v>379</v>
      </c>
      <c r="F306" s="610" t="s">
        <v>379</v>
      </c>
      <c r="G306" s="610" t="s">
        <v>379</v>
      </c>
      <c r="H306" s="611" t="s">
        <v>626</v>
      </c>
    </row>
    <row r="307" spans="1:8" ht="31.5">
      <c r="A307" s="608" t="s">
        <v>639</v>
      </c>
      <c r="B307" s="612" t="s">
        <v>640</v>
      </c>
      <c r="C307" s="610" t="s">
        <v>379</v>
      </c>
      <c r="D307" s="610" t="s">
        <v>379</v>
      </c>
      <c r="E307" s="610" t="s">
        <v>379</v>
      </c>
      <c r="F307" s="610" t="s">
        <v>379</v>
      </c>
      <c r="G307" s="610" t="s">
        <v>379</v>
      </c>
      <c r="H307" s="611" t="s">
        <v>626</v>
      </c>
    </row>
    <row r="308" spans="1:8" ht="12.75" customHeight="1">
      <c r="A308" s="608">
        <v>3</v>
      </c>
      <c r="B308" s="706" t="s">
        <v>641</v>
      </c>
      <c r="C308" s="706"/>
      <c r="D308" s="706"/>
      <c r="E308" s="706"/>
      <c r="F308" s="706"/>
      <c r="G308" s="706"/>
      <c r="H308" s="706"/>
    </row>
    <row r="309" spans="1:8" ht="31.5">
      <c r="A309" s="608" t="s">
        <v>378</v>
      </c>
      <c r="B309" s="613" t="s">
        <v>642</v>
      </c>
      <c r="C309" s="610" t="s">
        <v>379</v>
      </c>
      <c r="D309" s="610" t="s">
        <v>379</v>
      </c>
      <c r="E309" s="610" t="s">
        <v>379</v>
      </c>
      <c r="F309" s="610" t="s">
        <v>379</v>
      </c>
      <c r="G309" s="610" t="s">
        <v>379</v>
      </c>
      <c r="H309" s="611" t="s">
        <v>626</v>
      </c>
    </row>
    <row r="310" spans="1:8" ht="15.75">
      <c r="A310" s="608" t="s">
        <v>643</v>
      </c>
      <c r="B310" s="613" t="s">
        <v>644</v>
      </c>
      <c r="C310" s="610" t="s">
        <v>685</v>
      </c>
      <c r="D310" s="610" t="s">
        <v>687</v>
      </c>
      <c r="E310" s="610" t="s">
        <v>379</v>
      </c>
      <c r="F310" s="610" t="s">
        <v>379</v>
      </c>
      <c r="G310" s="614">
        <v>0</v>
      </c>
      <c r="H310" s="611"/>
    </row>
    <row r="311" spans="1:8" ht="15.75">
      <c r="A311" s="608" t="s">
        <v>380</v>
      </c>
      <c r="B311" s="613" t="s">
        <v>646</v>
      </c>
      <c r="C311" s="610" t="s">
        <v>688</v>
      </c>
      <c r="D311" s="610" t="s">
        <v>689</v>
      </c>
      <c r="E311" s="610" t="s">
        <v>379</v>
      </c>
      <c r="F311" s="610" t="s">
        <v>379</v>
      </c>
      <c r="G311" s="614">
        <v>0</v>
      </c>
      <c r="H311" s="611"/>
    </row>
    <row r="312" spans="1:8" ht="15.75">
      <c r="A312" s="608" t="s">
        <v>649</v>
      </c>
      <c r="B312" s="613" t="s">
        <v>650</v>
      </c>
      <c r="C312" s="610" t="s">
        <v>690</v>
      </c>
      <c r="D312" s="610" t="s">
        <v>691</v>
      </c>
      <c r="E312" s="610" t="s">
        <v>379</v>
      </c>
      <c r="F312" s="610" t="s">
        <v>379</v>
      </c>
      <c r="G312" s="614">
        <v>0</v>
      </c>
      <c r="H312" s="611"/>
    </row>
    <row r="313" spans="1:8" ht="15.75">
      <c r="A313" s="608" t="s">
        <v>653</v>
      </c>
      <c r="B313" s="613" t="s">
        <v>654</v>
      </c>
      <c r="C313" s="610" t="s">
        <v>692</v>
      </c>
      <c r="D313" s="610" t="s">
        <v>686</v>
      </c>
      <c r="E313" s="610" t="s">
        <v>379</v>
      </c>
      <c r="F313" s="610" t="s">
        <v>379</v>
      </c>
      <c r="G313" s="614">
        <v>0</v>
      </c>
      <c r="H313" s="611"/>
    </row>
    <row r="314" spans="1:8" ht="12.75" customHeight="1">
      <c r="A314" s="608">
        <v>4</v>
      </c>
      <c r="B314" s="706" t="s">
        <v>656</v>
      </c>
      <c r="C314" s="706"/>
      <c r="D314" s="706"/>
      <c r="E314" s="706"/>
      <c r="F314" s="706"/>
      <c r="G314" s="706"/>
      <c r="H314" s="706"/>
    </row>
    <row r="315" spans="1:8" ht="31.5">
      <c r="A315" s="608" t="s">
        <v>657</v>
      </c>
      <c r="B315" s="612" t="s">
        <v>658</v>
      </c>
      <c r="C315" s="610" t="s">
        <v>379</v>
      </c>
      <c r="D315" s="610" t="s">
        <v>379</v>
      </c>
      <c r="E315" s="610" t="s">
        <v>379</v>
      </c>
      <c r="F315" s="610" t="s">
        <v>379</v>
      </c>
      <c r="G315" s="610" t="s">
        <v>379</v>
      </c>
      <c r="H315" s="611" t="s">
        <v>626</v>
      </c>
    </row>
    <row r="316" spans="1:8" ht="47.25">
      <c r="A316" s="608" t="s">
        <v>659</v>
      </c>
      <c r="B316" s="612" t="s">
        <v>660</v>
      </c>
      <c r="C316" s="610" t="s">
        <v>379</v>
      </c>
      <c r="D316" s="610" t="s">
        <v>379</v>
      </c>
      <c r="E316" s="610" t="s">
        <v>379</v>
      </c>
      <c r="F316" s="610" t="s">
        <v>379</v>
      </c>
      <c r="G316" s="610" t="s">
        <v>379</v>
      </c>
      <c r="H316" s="611" t="s">
        <v>626</v>
      </c>
    </row>
    <row r="317" spans="1:8" ht="31.5">
      <c r="A317" s="608" t="s">
        <v>661</v>
      </c>
      <c r="B317" s="613" t="s">
        <v>662</v>
      </c>
      <c r="C317" s="610" t="s">
        <v>379</v>
      </c>
      <c r="D317" s="610" t="s">
        <v>379</v>
      </c>
      <c r="E317" s="610" t="s">
        <v>379</v>
      </c>
      <c r="F317" s="610" t="s">
        <v>379</v>
      </c>
      <c r="G317" s="610" t="s">
        <v>379</v>
      </c>
      <c r="H317" s="611" t="s">
        <v>626</v>
      </c>
    </row>
    <row r="318" spans="1:8" ht="31.5">
      <c r="A318" s="615" t="s">
        <v>663</v>
      </c>
      <c r="B318" s="616" t="s">
        <v>664</v>
      </c>
      <c r="C318" s="617" t="s">
        <v>379</v>
      </c>
      <c r="D318" s="617" t="s">
        <v>379</v>
      </c>
      <c r="E318" s="617" t="s">
        <v>379</v>
      </c>
      <c r="F318" s="617" t="s">
        <v>379</v>
      </c>
      <c r="G318" s="617" t="s">
        <v>379</v>
      </c>
      <c r="H318" s="618" t="s">
        <v>626</v>
      </c>
    </row>
    <row r="319" spans="1:8" ht="15.75">
      <c r="A319" s="619"/>
      <c r="B319" s="620"/>
      <c r="C319" s="621"/>
      <c r="D319" s="621"/>
      <c r="E319" s="621"/>
      <c r="F319" s="621"/>
      <c r="G319" s="621"/>
      <c r="H319" s="148"/>
    </row>
    <row r="320" spans="1:8" ht="12.75" customHeight="1">
      <c r="A320" s="707" t="s">
        <v>665</v>
      </c>
      <c r="B320" s="707"/>
      <c r="C320" s="707"/>
      <c r="D320" s="707"/>
      <c r="E320" s="707"/>
      <c r="F320" s="707"/>
      <c r="G320" s="707"/>
      <c r="H320" s="707"/>
    </row>
    <row r="322" ht="15.75">
      <c r="H322" s="11" t="s">
        <v>609</v>
      </c>
    </row>
    <row r="323" ht="15.75">
      <c r="H323" s="11" t="s">
        <v>610</v>
      </c>
    </row>
    <row r="324" ht="15.75">
      <c r="H324" s="11" t="s">
        <v>611</v>
      </c>
    </row>
    <row r="325" ht="15.75">
      <c r="H325" s="11"/>
    </row>
    <row r="326" spans="1:8" ht="12.75" customHeight="1">
      <c r="A326" s="713" t="s">
        <v>612</v>
      </c>
      <c r="B326" s="713"/>
      <c r="C326" s="713"/>
      <c r="D326" s="713"/>
      <c r="E326" s="713"/>
      <c r="F326" s="713"/>
      <c r="G326" s="713"/>
      <c r="H326" s="713"/>
    </row>
    <row r="327" spans="1:8" ht="12.75" customHeight="1">
      <c r="A327" s="713" t="s">
        <v>613</v>
      </c>
      <c r="B327" s="713"/>
      <c r="C327" s="713"/>
      <c r="D327" s="713"/>
      <c r="E327" s="713"/>
      <c r="F327" s="713"/>
      <c r="G327" s="713"/>
      <c r="H327" s="713"/>
    </row>
    <row r="328" ht="15.75">
      <c r="H328" s="11" t="s">
        <v>43</v>
      </c>
    </row>
    <row r="329" ht="15.75">
      <c r="H329" s="11" t="s">
        <v>44</v>
      </c>
    </row>
    <row r="330" ht="15.75">
      <c r="H330" s="11" t="s">
        <v>45</v>
      </c>
    </row>
    <row r="331" ht="15.75">
      <c r="H331" s="594" t="s">
        <v>614</v>
      </c>
    </row>
    <row r="332" ht="15.75">
      <c r="H332" s="11" t="s">
        <v>615</v>
      </c>
    </row>
    <row r="333" ht="15.75">
      <c r="H333" s="11" t="s">
        <v>47</v>
      </c>
    </row>
    <row r="334" ht="15.75">
      <c r="A334" s="595"/>
    </row>
    <row r="335" spans="1:8" ht="12.75" customHeight="1">
      <c r="A335" s="715" t="s">
        <v>693</v>
      </c>
      <c r="B335" s="715"/>
      <c r="C335" s="715"/>
      <c r="D335" s="715"/>
      <c r="E335" s="715"/>
      <c r="F335" s="715"/>
      <c r="G335" s="715"/>
      <c r="H335" s="715"/>
    </row>
    <row r="336" spans="1:8" ht="12.75" customHeight="1">
      <c r="A336" s="717" t="s">
        <v>0</v>
      </c>
      <c r="B336" s="714"/>
      <c r="C336" s="714"/>
      <c r="D336" s="714"/>
      <c r="E336" s="714"/>
      <c r="F336" s="714"/>
      <c r="G336" s="714"/>
      <c r="H336" s="714"/>
    </row>
    <row r="337" spans="1:8" ht="16.5" thickBot="1">
      <c r="A337" s="597"/>
      <c r="B337" s="597"/>
      <c r="C337" s="598"/>
      <c r="D337" s="598"/>
      <c r="E337" s="598"/>
      <c r="F337" s="598"/>
      <c r="G337" s="598"/>
      <c r="H337" s="598"/>
    </row>
    <row r="338" spans="1:8" ht="12.75" customHeight="1">
      <c r="A338" s="708" t="s">
        <v>617</v>
      </c>
      <c r="B338" s="710" t="s">
        <v>618</v>
      </c>
      <c r="C338" s="711" t="s">
        <v>619</v>
      </c>
      <c r="D338" s="711"/>
      <c r="E338" s="711"/>
      <c r="F338" s="711"/>
      <c r="G338" s="712" t="s">
        <v>620</v>
      </c>
      <c r="H338" s="708" t="s">
        <v>621</v>
      </c>
    </row>
    <row r="339" spans="1:8" ht="15.75">
      <c r="A339" s="708"/>
      <c r="B339" s="710"/>
      <c r="C339" s="711"/>
      <c r="D339" s="711"/>
      <c r="E339" s="711"/>
      <c r="F339" s="711"/>
      <c r="G339" s="712"/>
      <c r="H339" s="708"/>
    </row>
    <row r="340" spans="1:8" ht="31.5">
      <c r="A340" s="708"/>
      <c r="B340" s="710"/>
      <c r="C340" s="601" t="s">
        <v>622</v>
      </c>
      <c r="D340" s="601" t="s">
        <v>623</v>
      </c>
      <c r="E340" s="602" t="s">
        <v>622</v>
      </c>
      <c r="F340" s="603" t="s">
        <v>623</v>
      </c>
      <c r="G340" s="712"/>
      <c r="H340" s="708"/>
    </row>
    <row r="341" spans="1:8" ht="15.75">
      <c r="A341" s="599">
        <v>1</v>
      </c>
      <c r="B341" s="599">
        <v>2</v>
      </c>
      <c r="C341" s="604">
        <v>3</v>
      </c>
      <c r="D341" s="604">
        <v>4</v>
      </c>
      <c r="E341" s="605"/>
      <c r="F341" s="606"/>
      <c r="G341" s="600">
        <v>5</v>
      </c>
      <c r="H341" s="599">
        <v>6</v>
      </c>
    </row>
    <row r="342" spans="1:8" ht="12.75" customHeight="1">
      <c r="A342" s="607">
        <v>1</v>
      </c>
      <c r="B342" s="709" t="s">
        <v>624</v>
      </c>
      <c r="C342" s="709"/>
      <c r="D342" s="709"/>
      <c r="E342" s="709"/>
      <c r="F342" s="709"/>
      <c r="G342" s="709"/>
      <c r="H342" s="709"/>
    </row>
    <row r="343" spans="1:8" ht="15.75">
      <c r="A343" s="608" t="s">
        <v>74</v>
      </c>
      <c r="B343" s="609" t="s">
        <v>625</v>
      </c>
      <c r="C343" s="610" t="s">
        <v>379</v>
      </c>
      <c r="D343" s="610" t="s">
        <v>379</v>
      </c>
      <c r="E343" s="610" t="s">
        <v>379</v>
      </c>
      <c r="F343" s="610" t="s">
        <v>379</v>
      </c>
      <c r="G343" s="610" t="s">
        <v>379</v>
      </c>
      <c r="H343" s="611" t="s">
        <v>626</v>
      </c>
    </row>
    <row r="344" spans="1:8" ht="15.75">
      <c r="A344" s="608" t="s">
        <v>313</v>
      </c>
      <c r="B344" s="609" t="s">
        <v>627</v>
      </c>
      <c r="C344" s="610" t="s">
        <v>379</v>
      </c>
      <c r="D344" s="610" t="s">
        <v>379</v>
      </c>
      <c r="E344" s="610" t="s">
        <v>379</v>
      </c>
      <c r="F344" s="610" t="s">
        <v>379</v>
      </c>
      <c r="G344" s="610" t="s">
        <v>379</v>
      </c>
      <c r="H344" s="611" t="s">
        <v>626</v>
      </c>
    </row>
    <row r="345" spans="1:8" ht="31.5">
      <c r="A345" s="608" t="s">
        <v>315</v>
      </c>
      <c r="B345" s="612" t="s">
        <v>628</v>
      </c>
      <c r="C345" s="610" t="s">
        <v>379</v>
      </c>
      <c r="D345" s="610" t="s">
        <v>379</v>
      </c>
      <c r="E345" s="610" t="s">
        <v>379</v>
      </c>
      <c r="F345" s="610" t="s">
        <v>379</v>
      </c>
      <c r="G345" s="610" t="s">
        <v>379</v>
      </c>
      <c r="H345" s="611" t="s">
        <v>626</v>
      </c>
    </row>
    <row r="346" spans="1:8" ht="47.25">
      <c r="A346" s="608" t="s">
        <v>317</v>
      </c>
      <c r="B346" s="612" t="s">
        <v>629</v>
      </c>
      <c r="C346" s="610" t="s">
        <v>379</v>
      </c>
      <c r="D346" s="610" t="s">
        <v>379</v>
      </c>
      <c r="E346" s="610" t="s">
        <v>379</v>
      </c>
      <c r="F346" s="610" t="s">
        <v>379</v>
      </c>
      <c r="G346" s="610" t="s">
        <v>379</v>
      </c>
      <c r="H346" s="611" t="s">
        <v>626</v>
      </c>
    </row>
    <row r="347" spans="1:8" ht="15.75">
      <c r="A347" s="608" t="s">
        <v>630</v>
      </c>
      <c r="B347" s="613" t="s">
        <v>631</v>
      </c>
      <c r="C347" s="610" t="s">
        <v>379</v>
      </c>
      <c r="D347" s="610" t="s">
        <v>379</v>
      </c>
      <c r="E347" s="610" t="s">
        <v>379</v>
      </c>
      <c r="F347" s="610" t="s">
        <v>379</v>
      </c>
      <c r="G347" s="610" t="s">
        <v>379</v>
      </c>
      <c r="H347" s="611" t="s">
        <v>626</v>
      </c>
    </row>
    <row r="348" spans="1:8" ht="15.75">
      <c r="A348" s="608" t="s">
        <v>632</v>
      </c>
      <c r="B348" s="613" t="s">
        <v>633</v>
      </c>
      <c r="C348" s="610" t="s">
        <v>379</v>
      </c>
      <c r="D348" s="610" t="s">
        <v>379</v>
      </c>
      <c r="E348" s="610" t="s">
        <v>379</v>
      </c>
      <c r="F348" s="610" t="s">
        <v>379</v>
      </c>
      <c r="G348" s="610" t="s">
        <v>379</v>
      </c>
      <c r="H348" s="611" t="s">
        <v>626</v>
      </c>
    </row>
    <row r="349" spans="1:8" ht="12.75" customHeight="1">
      <c r="A349" s="608">
        <v>2</v>
      </c>
      <c r="B349" s="706" t="s">
        <v>634</v>
      </c>
      <c r="C349" s="706"/>
      <c r="D349" s="706"/>
      <c r="E349" s="706"/>
      <c r="F349" s="706"/>
      <c r="G349" s="706"/>
      <c r="H349" s="706"/>
    </row>
    <row r="350" spans="1:8" ht="31.5">
      <c r="A350" s="608" t="s">
        <v>321</v>
      </c>
      <c r="B350" s="612" t="s">
        <v>635</v>
      </c>
      <c r="C350" s="610" t="s">
        <v>676</v>
      </c>
      <c r="D350" s="610" t="s">
        <v>677</v>
      </c>
      <c r="E350" s="610" t="s">
        <v>379</v>
      </c>
      <c r="F350" s="610" t="s">
        <v>379</v>
      </c>
      <c r="G350" s="614">
        <v>0</v>
      </c>
      <c r="H350" s="611"/>
    </row>
    <row r="351" spans="1:8" ht="47.25">
      <c r="A351" s="608" t="s">
        <v>325</v>
      </c>
      <c r="B351" s="612" t="s">
        <v>638</v>
      </c>
      <c r="C351" s="610" t="s">
        <v>379</v>
      </c>
      <c r="D351" s="610" t="s">
        <v>379</v>
      </c>
      <c r="E351" s="610" t="s">
        <v>379</v>
      </c>
      <c r="F351" s="610" t="s">
        <v>379</v>
      </c>
      <c r="G351" s="610" t="s">
        <v>379</v>
      </c>
      <c r="H351" s="611" t="s">
        <v>626</v>
      </c>
    </row>
    <row r="352" spans="1:8" ht="31.5">
      <c r="A352" s="608" t="s">
        <v>639</v>
      </c>
      <c r="B352" s="612" t="s">
        <v>640</v>
      </c>
      <c r="C352" s="610" t="s">
        <v>379</v>
      </c>
      <c r="D352" s="610" t="s">
        <v>379</v>
      </c>
      <c r="E352" s="610" t="s">
        <v>379</v>
      </c>
      <c r="F352" s="610" t="s">
        <v>379</v>
      </c>
      <c r="G352" s="610" t="s">
        <v>379</v>
      </c>
      <c r="H352" s="611" t="s">
        <v>626</v>
      </c>
    </row>
    <row r="353" spans="1:8" ht="12.75" customHeight="1">
      <c r="A353" s="608">
        <v>3</v>
      </c>
      <c r="B353" s="706" t="s">
        <v>674</v>
      </c>
      <c r="C353" s="706"/>
      <c r="D353" s="706"/>
      <c r="E353" s="706"/>
      <c r="F353" s="706"/>
      <c r="G353" s="706"/>
      <c r="H353" s="706"/>
    </row>
    <row r="354" spans="1:8" ht="31.5">
      <c r="A354" s="608" t="s">
        <v>378</v>
      </c>
      <c r="B354" s="613" t="s">
        <v>642</v>
      </c>
      <c r="C354" s="610" t="s">
        <v>379</v>
      </c>
      <c r="D354" s="610" t="s">
        <v>379</v>
      </c>
      <c r="E354" s="610" t="s">
        <v>379</v>
      </c>
      <c r="F354" s="610" t="s">
        <v>379</v>
      </c>
      <c r="G354" s="610" t="s">
        <v>379</v>
      </c>
      <c r="H354" s="611" t="s">
        <v>626</v>
      </c>
    </row>
    <row r="355" spans="1:8" ht="15.75">
      <c r="A355" s="608" t="s">
        <v>643</v>
      </c>
      <c r="B355" s="613" t="s">
        <v>644</v>
      </c>
      <c r="C355" s="610" t="s">
        <v>676</v>
      </c>
      <c r="D355" s="610" t="s">
        <v>694</v>
      </c>
      <c r="E355" s="610" t="s">
        <v>379</v>
      </c>
      <c r="F355" s="610" t="s">
        <v>379</v>
      </c>
      <c r="G355" s="614">
        <v>0</v>
      </c>
      <c r="H355" s="611"/>
    </row>
    <row r="356" spans="1:8" ht="15.75">
      <c r="A356" s="608" t="s">
        <v>380</v>
      </c>
      <c r="B356" s="613" t="s">
        <v>646</v>
      </c>
      <c r="C356" s="610" t="s">
        <v>694</v>
      </c>
      <c r="D356" s="610" t="s">
        <v>680</v>
      </c>
      <c r="E356" s="610" t="s">
        <v>379</v>
      </c>
      <c r="F356" s="610" t="s">
        <v>379</v>
      </c>
      <c r="G356" s="614">
        <v>0</v>
      </c>
      <c r="H356" s="611"/>
    </row>
    <row r="357" spans="1:8" ht="15.75">
      <c r="A357" s="608" t="s">
        <v>649</v>
      </c>
      <c r="B357" s="613" t="s">
        <v>650</v>
      </c>
      <c r="C357" s="610" t="s">
        <v>681</v>
      </c>
      <c r="D357" s="610" t="s">
        <v>682</v>
      </c>
      <c r="E357" s="610" t="s">
        <v>379</v>
      </c>
      <c r="F357" s="610" t="s">
        <v>379</v>
      </c>
      <c r="G357" s="614">
        <v>0</v>
      </c>
      <c r="H357" s="611"/>
    </row>
    <row r="358" spans="1:8" ht="15.75">
      <c r="A358" s="608" t="s">
        <v>653</v>
      </c>
      <c r="B358" s="613" t="s">
        <v>654</v>
      </c>
      <c r="C358" s="610" t="s">
        <v>682</v>
      </c>
      <c r="D358" s="610" t="s">
        <v>677</v>
      </c>
      <c r="E358" s="610" t="s">
        <v>379</v>
      </c>
      <c r="F358" s="610" t="s">
        <v>379</v>
      </c>
      <c r="G358" s="614">
        <v>0</v>
      </c>
      <c r="H358" s="611"/>
    </row>
    <row r="359" spans="1:8" ht="12.75" customHeight="1">
      <c r="A359" s="608">
        <v>4</v>
      </c>
      <c r="B359" s="706" t="s">
        <v>656</v>
      </c>
      <c r="C359" s="706"/>
      <c r="D359" s="706"/>
      <c r="E359" s="706"/>
      <c r="F359" s="706"/>
      <c r="G359" s="706"/>
      <c r="H359" s="706"/>
    </row>
    <row r="360" spans="1:8" ht="31.5">
      <c r="A360" s="608" t="s">
        <v>657</v>
      </c>
      <c r="B360" s="612" t="s">
        <v>658</v>
      </c>
      <c r="C360" s="610" t="s">
        <v>379</v>
      </c>
      <c r="D360" s="610" t="s">
        <v>379</v>
      </c>
      <c r="E360" s="610" t="s">
        <v>379</v>
      </c>
      <c r="F360" s="610" t="s">
        <v>379</v>
      </c>
      <c r="G360" s="610" t="s">
        <v>379</v>
      </c>
      <c r="H360" s="611" t="s">
        <v>626</v>
      </c>
    </row>
    <row r="361" spans="1:8" ht="47.25">
      <c r="A361" s="608" t="s">
        <v>659</v>
      </c>
      <c r="B361" s="612" t="s">
        <v>660</v>
      </c>
      <c r="C361" s="610" t="s">
        <v>379</v>
      </c>
      <c r="D361" s="610" t="s">
        <v>379</v>
      </c>
      <c r="E361" s="610" t="s">
        <v>379</v>
      </c>
      <c r="F361" s="610" t="s">
        <v>379</v>
      </c>
      <c r="G361" s="610" t="s">
        <v>379</v>
      </c>
      <c r="H361" s="611" t="s">
        <v>626</v>
      </c>
    </row>
    <row r="362" spans="1:8" ht="31.5">
      <c r="A362" s="608" t="s">
        <v>661</v>
      </c>
      <c r="B362" s="613" t="s">
        <v>662</v>
      </c>
      <c r="C362" s="610" t="s">
        <v>379</v>
      </c>
      <c r="D362" s="610" t="s">
        <v>379</v>
      </c>
      <c r="E362" s="610" t="s">
        <v>379</v>
      </c>
      <c r="F362" s="610" t="s">
        <v>379</v>
      </c>
      <c r="G362" s="610" t="s">
        <v>379</v>
      </c>
      <c r="H362" s="611" t="s">
        <v>626</v>
      </c>
    </row>
    <row r="363" spans="1:8" ht="31.5">
      <c r="A363" s="615" t="s">
        <v>663</v>
      </c>
      <c r="B363" s="616" t="s">
        <v>664</v>
      </c>
      <c r="C363" s="617" t="s">
        <v>379</v>
      </c>
      <c r="D363" s="617" t="s">
        <v>379</v>
      </c>
      <c r="E363" s="617" t="s">
        <v>379</v>
      </c>
      <c r="F363" s="617" t="s">
        <v>379</v>
      </c>
      <c r="G363" s="617" t="s">
        <v>379</v>
      </c>
      <c r="H363" s="618" t="s">
        <v>626</v>
      </c>
    </row>
    <row r="364" spans="1:8" ht="15.75">
      <c r="A364" s="619"/>
      <c r="B364" s="620"/>
      <c r="C364" s="621"/>
      <c r="D364" s="621"/>
      <c r="E364" s="621"/>
      <c r="F364" s="621"/>
      <c r="G364" s="621"/>
      <c r="H364" s="148"/>
    </row>
    <row r="365" spans="1:8" ht="12.75" customHeight="1">
      <c r="A365" s="707" t="s">
        <v>665</v>
      </c>
      <c r="B365" s="707"/>
      <c r="C365" s="707"/>
      <c r="D365" s="707"/>
      <c r="E365" s="707"/>
      <c r="F365" s="707"/>
      <c r="G365" s="707"/>
      <c r="H365" s="707"/>
    </row>
    <row r="366" spans="1:8" ht="15.75">
      <c r="A366" s="148"/>
      <c r="B366" s="148"/>
      <c r="C366" s="148"/>
      <c r="D366" s="148"/>
      <c r="E366" s="148"/>
      <c r="F366" s="148"/>
      <c r="G366" s="148"/>
      <c r="H366" s="167"/>
    </row>
    <row r="368" ht="15.75">
      <c r="H368" s="11" t="s">
        <v>609</v>
      </c>
    </row>
    <row r="369" ht="15.75">
      <c r="H369" s="11" t="s">
        <v>610</v>
      </c>
    </row>
    <row r="370" ht="15.75">
      <c r="H370" s="11" t="s">
        <v>611</v>
      </c>
    </row>
    <row r="371" ht="15.75">
      <c r="H371" s="11"/>
    </row>
    <row r="372" spans="1:8" ht="12.75" customHeight="1">
      <c r="A372" s="713" t="s">
        <v>612</v>
      </c>
      <c r="B372" s="713"/>
      <c r="C372" s="713"/>
      <c r="D372" s="713"/>
      <c r="E372" s="713"/>
      <c r="F372" s="713"/>
      <c r="G372" s="713"/>
      <c r="H372" s="713"/>
    </row>
    <row r="373" spans="1:8" ht="12.75" customHeight="1">
      <c r="A373" s="713" t="s">
        <v>613</v>
      </c>
      <c r="B373" s="713"/>
      <c r="C373" s="713"/>
      <c r="D373" s="713"/>
      <c r="E373" s="713"/>
      <c r="F373" s="713"/>
      <c r="G373" s="713"/>
      <c r="H373" s="713"/>
    </row>
    <row r="374" ht="15.75">
      <c r="H374" s="11" t="s">
        <v>43</v>
      </c>
    </row>
    <row r="375" ht="15.75">
      <c r="H375" s="11" t="s">
        <v>44</v>
      </c>
    </row>
    <row r="376" ht="15.75">
      <c r="H376" s="11" t="s">
        <v>45</v>
      </c>
    </row>
    <row r="377" ht="15.75">
      <c r="H377" s="594" t="s">
        <v>614</v>
      </c>
    </row>
    <row r="378" ht="15.75">
      <c r="H378" s="11" t="s">
        <v>615</v>
      </c>
    </row>
    <row r="379" ht="15.75">
      <c r="H379" s="11" t="s">
        <v>47</v>
      </c>
    </row>
    <row r="380" ht="15.75">
      <c r="A380" s="595"/>
    </row>
    <row r="381" spans="1:8" ht="12.75" customHeight="1">
      <c r="A381" s="715" t="s">
        <v>695</v>
      </c>
      <c r="B381" s="715"/>
      <c r="C381" s="715"/>
      <c r="D381" s="715"/>
      <c r="E381" s="715"/>
      <c r="F381" s="715"/>
      <c r="G381" s="715"/>
      <c r="H381" s="715"/>
    </row>
    <row r="382" spans="1:8" ht="12.75" customHeight="1">
      <c r="A382" s="717" t="s">
        <v>0</v>
      </c>
      <c r="B382" s="714"/>
      <c r="C382" s="714"/>
      <c r="D382" s="714"/>
      <c r="E382" s="714"/>
      <c r="F382" s="714"/>
      <c r="G382" s="714"/>
      <c r="H382" s="714"/>
    </row>
    <row r="383" spans="1:8" ht="16.5" thickBot="1">
      <c r="A383" s="597"/>
      <c r="B383" s="597"/>
      <c r="C383" s="598"/>
      <c r="D383" s="598"/>
      <c r="E383" s="598"/>
      <c r="F383" s="598"/>
      <c r="G383" s="598"/>
      <c r="H383" s="598"/>
    </row>
    <row r="384" spans="1:8" ht="12.75" customHeight="1">
      <c r="A384" s="708" t="s">
        <v>617</v>
      </c>
      <c r="B384" s="710" t="s">
        <v>618</v>
      </c>
      <c r="C384" s="711" t="s">
        <v>619</v>
      </c>
      <c r="D384" s="711"/>
      <c r="E384" s="711"/>
      <c r="F384" s="711"/>
      <c r="G384" s="712" t="s">
        <v>620</v>
      </c>
      <c r="H384" s="708" t="s">
        <v>621</v>
      </c>
    </row>
    <row r="385" spans="1:8" ht="15.75">
      <c r="A385" s="708"/>
      <c r="B385" s="710"/>
      <c r="C385" s="711"/>
      <c r="D385" s="711"/>
      <c r="E385" s="711"/>
      <c r="F385" s="711"/>
      <c r="G385" s="712"/>
      <c r="H385" s="708"/>
    </row>
    <row r="386" spans="1:8" ht="31.5">
      <c r="A386" s="708"/>
      <c r="B386" s="710"/>
      <c r="C386" s="601" t="s">
        <v>622</v>
      </c>
      <c r="D386" s="601" t="s">
        <v>623</v>
      </c>
      <c r="E386" s="602" t="s">
        <v>622</v>
      </c>
      <c r="F386" s="603" t="s">
        <v>623</v>
      </c>
      <c r="G386" s="712"/>
      <c r="H386" s="708"/>
    </row>
    <row r="387" spans="1:8" ht="15.75">
      <c r="A387" s="599">
        <v>1</v>
      </c>
      <c r="B387" s="599">
        <v>2</v>
      </c>
      <c r="C387" s="604">
        <v>3</v>
      </c>
      <c r="D387" s="604">
        <v>4</v>
      </c>
      <c r="E387" s="605"/>
      <c r="F387" s="606"/>
      <c r="G387" s="600">
        <v>5</v>
      </c>
      <c r="H387" s="599">
        <v>6</v>
      </c>
    </row>
    <row r="388" spans="1:8" ht="12.75" customHeight="1">
      <c r="A388" s="607">
        <v>1</v>
      </c>
      <c r="B388" s="709" t="s">
        <v>624</v>
      </c>
      <c r="C388" s="709"/>
      <c r="D388" s="709"/>
      <c r="E388" s="709"/>
      <c r="F388" s="709"/>
      <c r="G388" s="709"/>
      <c r="H388" s="709"/>
    </row>
    <row r="389" spans="1:8" ht="15.75">
      <c r="A389" s="608" t="s">
        <v>74</v>
      </c>
      <c r="B389" s="609" t="s">
        <v>625</v>
      </c>
      <c r="C389" s="610" t="s">
        <v>379</v>
      </c>
      <c r="D389" s="610" t="s">
        <v>379</v>
      </c>
      <c r="E389" s="610" t="s">
        <v>379</v>
      </c>
      <c r="F389" s="610" t="s">
        <v>379</v>
      </c>
      <c r="G389" s="610" t="s">
        <v>379</v>
      </c>
      <c r="H389" s="611" t="s">
        <v>626</v>
      </c>
    </row>
    <row r="390" spans="1:8" ht="15.75">
      <c r="A390" s="608" t="s">
        <v>313</v>
      </c>
      <c r="B390" s="609" t="s">
        <v>627</v>
      </c>
      <c r="C390" s="610" t="s">
        <v>379</v>
      </c>
      <c r="D390" s="610" t="s">
        <v>379</v>
      </c>
      <c r="E390" s="610" t="s">
        <v>379</v>
      </c>
      <c r="F390" s="610" t="s">
        <v>379</v>
      </c>
      <c r="G390" s="610" t="s">
        <v>379</v>
      </c>
      <c r="H390" s="611" t="s">
        <v>626</v>
      </c>
    </row>
    <row r="391" spans="1:8" ht="31.5">
      <c r="A391" s="608" t="s">
        <v>315</v>
      </c>
      <c r="B391" s="612" t="s">
        <v>628</v>
      </c>
      <c r="C391" s="610" t="s">
        <v>379</v>
      </c>
      <c r="D391" s="610" t="s">
        <v>379</v>
      </c>
      <c r="E391" s="610" t="s">
        <v>379</v>
      </c>
      <c r="F391" s="610" t="s">
        <v>379</v>
      </c>
      <c r="G391" s="610" t="s">
        <v>379</v>
      </c>
      <c r="H391" s="611" t="s">
        <v>626</v>
      </c>
    </row>
    <row r="392" spans="1:8" ht="47.25">
      <c r="A392" s="608" t="s">
        <v>317</v>
      </c>
      <c r="B392" s="612" t="s">
        <v>629</v>
      </c>
      <c r="C392" s="610" t="s">
        <v>379</v>
      </c>
      <c r="D392" s="610" t="s">
        <v>379</v>
      </c>
      <c r="E392" s="610" t="s">
        <v>379</v>
      </c>
      <c r="F392" s="610" t="s">
        <v>379</v>
      </c>
      <c r="G392" s="610" t="s">
        <v>379</v>
      </c>
      <c r="H392" s="611" t="s">
        <v>626</v>
      </c>
    </row>
    <row r="393" spans="1:8" ht="15.75">
      <c r="A393" s="608" t="s">
        <v>630</v>
      </c>
      <c r="B393" s="613" t="s">
        <v>631</v>
      </c>
      <c r="C393" s="610" t="s">
        <v>379</v>
      </c>
      <c r="D393" s="610" t="s">
        <v>379</v>
      </c>
      <c r="E393" s="610" t="s">
        <v>379</v>
      </c>
      <c r="F393" s="610" t="s">
        <v>379</v>
      </c>
      <c r="G393" s="610" t="s">
        <v>379</v>
      </c>
      <c r="H393" s="611" t="s">
        <v>626</v>
      </c>
    </row>
    <row r="394" spans="1:8" ht="15.75">
      <c r="A394" s="608" t="s">
        <v>632</v>
      </c>
      <c r="B394" s="613" t="s">
        <v>633</v>
      </c>
      <c r="C394" s="610" t="s">
        <v>379</v>
      </c>
      <c r="D394" s="610" t="s">
        <v>379</v>
      </c>
      <c r="E394" s="610" t="s">
        <v>379</v>
      </c>
      <c r="F394" s="610" t="s">
        <v>379</v>
      </c>
      <c r="G394" s="610" t="s">
        <v>379</v>
      </c>
      <c r="H394" s="611" t="s">
        <v>626</v>
      </c>
    </row>
    <row r="395" spans="1:8" ht="12.75" customHeight="1">
      <c r="A395" s="608">
        <v>2</v>
      </c>
      <c r="B395" s="706" t="s">
        <v>634</v>
      </c>
      <c r="C395" s="706"/>
      <c r="D395" s="706"/>
      <c r="E395" s="706"/>
      <c r="F395" s="706"/>
      <c r="G395" s="706"/>
      <c r="H395" s="706"/>
    </row>
    <row r="396" spans="1:8" ht="31.5">
      <c r="A396" s="608" t="s">
        <v>321</v>
      </c>
      <c r="B396" s="612" t="s">
        <v>635</v>
      </c>
      <c r="C396" s="610" t="s">
        <v>676</v>
      </c>
      <c r="D396" s="610" t="s">
        <v>677</v>
      </c>
      <c r="E396" s="610" t="s">
        <v>379</v>
      </c>
      <c r="F396" s="610" t="s">
        <v>379</v>
      </c>
      <c r="G396" s="614">
        <v>0</v>
      </c>
      <c r="H396" s="611"/>
    </row>
    <row r="397" spans="1:8" ht="47.25">
      <c r="A397" s="608" t="s">
        <v>325</v>
      </c>
      <c r="B397" s="612" t="s">
        <v>638</v>
      </c>
      <c r="C397" s="610" t="s">
        <v>379</v>
      </c>
      <c r="D397" s="610" t="s">
        <v>379</v>
      </c>
      <c r="E397" s="610" t="s">
        <v>379</v>
      </c>
      <c r="F397" s="610" t="s">
        <v>379</v>
      </c>
      <c r="G397" s="610" t="s">
        <v>379</v>
      </c>
      <c r="H397" s="611" t="s">
        <v>626</v>
      </c>
    </row>
    <row r="398" spans="1:8" ht="31.5">
      <c r="A398" s="608" t="s">
        <v>639</v>
      </c>
      <c r="B398" s="612" t="s">
        <v>640</v>
      </c>
      <c r="C398" s="610" t="s">
        <v>379</v>
      </c>
      <c r="D398" s="610" t="s">
        <v>379</v>
      </c>
      <c r="E398" s="610" t="s">
        <v>379</v>
      </c>
      <c r="F398" s="610" t="s">
        <v>379</v>
      </c>
      <c r="G398" s="610" t="s">
        <v>379</v>
      </c>
      <c r="H398" s="611" t="s">
        <v>626</v>
      </c>
    </row>
    <row r="399" spans="1:8" ht="12.75" customHeight="1">
      <c r="A399" s="608">
        <v>3</v>
      </c>
      <c r="B399" s="706" t="s">
        <v>674</v>
      </c>
      <c r="C399" s="706"/>
      <c r="D399" s="706"/>
      <c r="E399" s="706"/>
      <c r="F399" s="706"/>
      <c r="G399" s="706"/>
      <c r="H399" s="706"/>
    </row>
    <row r="400" spans="1:8" ht="31.5">
      <c r="A400" s="608" t="s">
        <v>378</v>
      </c>
      <c r="B400" s="613" t="s">
        <v>642</v>
      </c>
      <c r="C400" s="610" t="s">
        <v>379</v>
      </c>
      <c r="D400" s="610" t="s">
        <v>379</v>
      </c>
      <c r="E400" s="610" t="s">
        <v>379</v>
      </c>
      <c r="F400" s="610" t="s">
        <v>379</v>
      </c>
      <c r="G400" s="610" t="s">
        <v>379</v>
      </c>
      <c r="H400" s="611" t="s">
        <v>626</v>
      </c>
    </row>
    <row r="401" spans="1:8" ht="15.75">
      <c r="A401" s="608" t="s">
        <v>643</v>
      </c>
      <c r="B401" s="613" t="s">
        <v>644</v>
      </c>
      <c r="C401" s="610" t="s">
        <v>676</v>
      </c>
      <c r="D401" s="610" t="s">
        <v>694</v>
      </c>
      <c r="E401" s="610" t="s">
        <v>379</v>
      </c>
      <c r="F401" s="610" t="s">
        <v>379</v>
      </c>
      <c r="G401" s="614">
        <v>0</v>
      </c>
      <c r="H401" s="611"/>
    </row>
    <row r="402" spans="1:8" ht="15.75">
      <c r="A402" s="608" t="s">
        <v>380</v>
      </c>
      <c r="B402" s="613" t="s">
        <v>646</v>
      </c>
      <c r="C402" s="610" t="s">
        <v>694</v>
      </c>
      <c r="D402" s="610" t="s">
        <v>680</v>
      </c>
      <c r="E402" s="610" t="s">
        <v>379</v>
      </c>
      <c r="F402" s="610" t="s">
        <v>379</v>
      </c>
      <c r="G402" s="614">
        <v>0</v>
      </c>
      <c r="H402" s="611"/>
    </row>
    <row r="403" spans="1:8" ht="15.75">
      <c r="A403" s="608" t="s">
        <v>649</v>
      </c>
      <c r="B403" s="613" t="s">
        <v>650</v>
      </c>
      <c r="C403" s="610" t="s">
        <v>681</v>
      </c>
      <c r="D403" s="610" t="s">
        <v>682</v>
      </c>
      <c r="E403" s="610" t="s">
        <v>379</v>
      </c>
      <c r="F403" s="610" t="s">
        <v>379</v>
      </c>
      <c r="G403" s="614">
        <v>0</v>
      </c>
      <c r="H403" s="611"/>
    </row>
    <row r="404" spans="1:8" ht="15.75">
      <c r="A404" s="608" t="s">
        <v>653</v>
      </c>
      <c r="B404" s="613" t="s">
        <v>654</v>
      </c>
      <c r="C404" s="610" t="s">
        <v>682</v>
      </c>
      <c r="D404" s="610" t="s">
        <v>677</v>
      </c>
      <c r="E404" s="610" t="s">
        <v>379</v>
      </c>
      <c r="F404" s="610" t="s">
        <v>379</v>
      </c>
      <c r="G404" s="614">
        <v>0</v>
      </c>
      <c r="H404" s="611"/>
    </row>
    <row r="405" spans="1:8" ht="12.75" customHeight="1">
      <c r="A405" s="608">
        <v>4</v>
      </c>
      <c r="B405" s="706" t="s">
        <v>656</v>
      </c>
      <c r="C405" s="706"/>
      <c r="D405" s="706"/>
      <c r="E405" s="706"/>
      <c r="F405" s="706"/>
      <c r="G405" s="706"/>
      <c r="H405" s="706"/>
    </row>
    <row r="406" spans="1:8" ht="31.5">
      <c r="A406" s="608" t="s">
        <v>657</v>
      </c>
      <c r="B406" s="612" t="s">
        <v>658</v>
      </c>
      <c r="C406" s="610" t="s">
        <v>379</v>
      </c>
      <c r="D406" s="610" t="s">
        <v>379</v>
      </c>
      <c r="E406" s="610" t="s">
        <v>379</v>
      </c>
      <c r="F406" s="610" t="s">
        <v>379</v>
      </c>
      <c r="G406" s="610" t="s">
        <v>379</v>
      </c>
      <c r="H406" s="611" t="s">
        <v>626</v>
      </c>
    </row>
    <row r="407" spans="1:8" ht="47.25">
      <c r="A407" s="608" t="s">
        <v>659</v>
      </c>
      <c r="B407" s="612" t="s">
        <v>660</v>
      </c>
      <c r="C407" s="610" t="s">
        <v>379</v>
      </c>
      <c r="D407" s="610" t="s">
        <v>379</v>
      </c>
      <c r="E407" s="610" t="s">
        <v>379</v>
      </c>
      <c r="F407" s="610" t="s">
        <v>379</v>
      </c>
      <c r="G407" s="610" t="s">
        <v>379</v>
      </c>
      <c r="H407" s="611" t="s">
        <v>626</v>
      </c>
    </row>
    <row r="408" spans="1:8" ht="31.5">
      <c r="A408" s="608" t="s">
        <v>661</v>
      </c>
      <c r="B408" s="613" t="s">
        <v>662</v>
      </c>
      <c r="C408" s="610" t="s">
        <v>379</v>
      </c>
      <c r="D408" s="610" t="s">
        <v>379</v>
      </c>
      <c r="E408" s="610" t="s">
        <v>379</v>
      </c>
      <c r="F408" s="610" t="s">
        <v>379</v>
      </c>
      <c r="G408" s="610" t="s">
        <v>379</v>
      </c>
      <c r="H408" s="611" t="s">
        <v>626</v>
      </c>
    </row>
    <row r="409" spans="1:8" ht="31.5">
      <c r="A409" s="615" t="s">
        <v>663</v>
      </c>
      <c r="B409" s="616" t="s">
        <v>664</v>
      </c>
      <c r="C409" s="617" t="s">
        <v>379</v>
      </c>
      <c r="D409" s="617" t="s">
        <v>379</v>
      </c>
      <c r="E409" s="617" t="s">
        <v>379</v>
      </c>
      <c r="F409" s="617" t="s">
        <v>379</v>
      </c>
      <c r="G409" s="617" t="s">
        <v>379</v>
      </c>
      <c r="H409" s="618" t="s">
        <v>626</v>
      </c>
    </row>
    <row r="410" spans="1:8" ht="15.75">
      <c r="A410" s="619"/>
      <c r="B410" s="620"/>
      <c r="C410" s="621"/>
      <c r="D410" s="621"/>
      <c r="E410" s="621"/>
      <c r="F410" s="621"/>
      <c r="G410" s="621"/>
      <c r="H410" s="148"/>
    </row>
    <row r="411" spans="1:8" ht="12.75" customHeight="1">
      <c r="A411" s="707" t="s">
        <v>665</v>
      </c>
      <c r="B411" s="707"/>
      <c r="C411" s="707"/>
      <c r="D411" s="707"/>
      <c r="E411" s="707"/>
      <c r="F411" s="707"/>
      <c r="G411" s="707"/>
      <c r="H411" s="707"/>
    </row>
    <row r="413" ht="15.75">
      <c r="H413" s="11" t="s">
        <v>609</v>
      </c>
    </row>
    <row r="414" ht="15.75">
      <c r="H414" s="11" t="s">
        <v>610</v>
      </c>
    </row>
    <row r="415" ht="15.75">
      <c r="H415" s="11" t="s">
        <v>611</v>
      </c>
    </row>
    <row r="416" ht="15.75">
      <c r="H416" s="11"/>
    </row>
    <row r="417" spans="1:8" ht="12.75" customHeight="1">
      <c r="A417" s="713" t="s">
        <v>612</v>
      </c>
      <c r="B417" s="713"/>
      <c r="C417" s="713"/>
      <c r="D417" s="713"/>
      <c r="E417" s="713"/>
      <c r="F417" s="713"/>
      <c r="G417" s="713"/>
      <c r="H417" s="713"/>
    </row>
    <row r="418" spans="1:8" ht="12.75" customHeight="1">
      <c r="A418" s="713" t="s">
        <v>613</v>
      </c>
      <c r="B418" s="713"/>
      <c r="C418" s="713"/>
      <c r="D418" s="713"/>
      <c r="E418" s="713"/>
      <c r="F418" s="713"/>
      <c r="G418" s="713"/>
      <c r="H418" s="713"/>
    </row>
    <row r="419" ht="15.75">
      <c r="H419" s="11" t="s">
        <v>43</v>
      </c>
    </row>
    <row r="420" ht="15.75">
      <c r="H420" s="11" t="s">
        <v>44</v>
      </c>
    </row>
    <row r="421" ht="15.75">
      <c r="H421" s="11" t="s">
        <v>45</v>
      </c>
    </row>
    <row r="422" ht="15.75">
      <c r="H422" s="594" t="s">
        <v>614</v>
      </c>
    </row>
    <row r="423" ht="15.75">
      <c r="H423" s="11" t="s">
        <v>615</v>
      </c>
    </row>
    <row r="424" ht="15.75">
      <c r="H424" s="11" t="s">
        <v>47</v>
      </c>
    </row>
    <row r="425" ht="15.75">
      <c r="A425" s="595"/>
    </row>
    <row r="426" ht="15.75">
      <c r="A426" s="3" t="s">
        <v>696</v>
      </c>
    </row>
    <row r="427" spans="1:8" ht="12.75" customHeight="1">
      <c r="A427" s="717" t="s">
        <v>0</v>
      </c>
      <c r="B427" s="714"/>
      <c r="C427" s="714"/>
      <c r="D427" s="714"/>
      <c r="E427" s="714"/>
      <c r="F427" s="714"/>
      <c r="G427" s="714"/>
      <c r="H427" s="714"/>
    </row>
    <row r="428" spans="1:8" ht="16.5" thickBot="1">
      <c r="A428" s="597"/>
      <c r="B428" s="597"/>
      <c r="C428" s="598"/>
      <c r="D428" s="598"/>
      <c r="E428" s="598"/>
      <c r="F428" s="598"/>
      <c r="G428" s="598"/>
      <c r="H428" s="598"/>
    </row>
    <row r="429" spans="1:8" ht="12.75" customHeight="1">
      <c r="A429" s="708" t="s">
        <v>617</v>
      </c>
      <c r="B429" s="710" t="s">
        <v>618</v>
      </c>
      <c r="C429" s="711" t="s">
        <v>619</v>
      </c>
      <c r="D429" s="711"/>
      <c r="E429" s="711"/>
      <c r="F429" s="711"/>
      <c r="G429" s="712" t="s">
        <v>620</v>
      </c>
      <c r="H429" s="708" t="s">
        <v>621</v>
      </c>
    </row>
    <row r="430" spans="1:8" ht="15.75">
      <c r="A430" s="708"/>
      <c r="B430" s="710"/>
      <c r="C430" s="711"/>
      <c r="D430" s="711"/>
      <c r="E430" s="711"/>
      <c r="F430" s="711"/>
      <c r="G430" s="712"/>
      <c r="H430" s="708"/>
    </row>
    <row r="431" spans="1:8" ht="31.5">
      <c r="A431" s="708"/>
      <c r="B431" s="710"/>
      <c r="C431" s="601" t="s">
        <v>622</v>
      </c>
      <c r="D431" s="601" t="s">
        <v>623</v>
      </c>
      <c r="E431" s="602" t="s">
        <v>622</v>
      </c>
      <c r="F431" s="603" t="s">
        <v>623</v>
      </c>
      <c r="G431" s="712"/>
      <c r="H431" s="708"/>
    </row>
    <row r="432" spans="1:8" ht="15.75">
      <c r="A432" s="599">
        <v>1</v>
      </c>
      <c r="B432" s="599">
        <v>2</v>
      </c>
      <c r="C432" s="604">
        <v>3</v>
      </c>
      <c r="D432" s="604">
        <v>4</v>
      </c>
      <c r="E432" s="605"/>
      <c r="F432" s="606"/>
      <c r="G432" s="600">
        <v>5</v>
      </c>
      <c r="H432" s="599">
        <v>6</v>
      </c>
    </row>
    <row r="433" spans="1:8" ht="12.75" customHeight="1">
      <c r="A433" s="607">
        <v>1</v>
      </c>
      <c r="B433" s="709" t="s">
        <v>624</v>
      </c>
      <c r="C433" s="709"/>
      <c r="D433" s="709"/>
      <c r="E433" s="709"/>
      <c r="F433" s="709"/>
      <c r="G433" s="709"/>
      <c r="H433" s="709"/>
    </row>
    <row r="434" spans="1:8" ht="15.75">
      <c r="A434" s="608" t="s">
        <v>74</v>
      </c>
      <c r="B434" s="609" t="s">
        <v>625</v>
      </c>
      <c r="C434" s="610" t="s">
        <v>379</v>
      </c>
      <c r="D434" s="610" t="s">
        <v>379</v>
      </c>
      <c r="E434" s="610" t="s">
        <v>379</v>
      </c>
      <c r="F434" s="610" t="s">
        <v>379</v>
      </c>
      <c r="G434" s="610" t="s">
        <v>379</v>
      </c>
      <c r="H434" s="611" t="s">
        <v>626</v>
      </c>
    </row>
    <row r="435" spans="1:8" ht="15.75">
      <c r="A435" s="608" t="s">
        <v>313</v>
      </c>
      <c r="B435" s="609" t="s">
        <v>627</v>
      </c>
      <c r="C435" s="610" t="s">
        <v>379</v>
      </c>
      <c r="D435" s="610" t="s">
        <v>379</v>
      </c>
      <c r="E435" s="610" t="s">
        <v>379</v>
      </c>
      <c r="F435" s="610" t="s">
        <v>379</v>
      </c>
      <c r="G435" s="610" t="s">
        <v>379</v>
      </c>
      <c r="H435" s="611" t="s">
        <v>626</v>
      </c>
    </row>
    <row r="436" spans="1:8" ht="31.5">
      <c r="A436" s="608" t="s">
        <v>315</v>
      </c>
      <c r="B436" s="612" t="s">
        <v>628</v>
      </c>
      <c r="C436" s="610" t="s">
        <v>379</v>
      </c>
      <c r="D436" s="610" t="s">
        <v>379</v>
      </c>
      <c r="E436" s="610" t="s">
        <v>379</v>
      </c>
      <c r="F436" s="610" t="s">
        <v>379</v>
      </c>
      <c r="G436" s="610" t="s">
        <v>379</v>
      </c>
      <c r="H436" s="611" t="s">
        <v>626</v>
      </c>
    </row>
    <row r="437" spans="1:8" ht="47.25">
      <c r="A437" s="608" t="s">
        <v>317</v>
      </c>
      <c r="B437" s="612" t="s">
        <v>629</v>
      </c>
      <c r="C437" s="610" t="s">
        <v>379</v>
      </c>
      <c r="D437" s="610" t="s">
        <v>379</v>
      </c>
      <c r="E437" s="610" t="s">
        <v>379</v>
      </c>
      <c r="F437" s="610" t="s">
        <v>379</v>
      </c>
      <c r="G437" s="610" t="s">
        <v>379</v>
      </c>
      <c r="H437" s="611" t="s">
        <v>626</v>
      </c>
    </row>
    <row r="438" spans="1:8" ht="15.75">
      <c r="A438" s="608" t="s">
        <v>630</v>
      </c>
      <c r="B438" s="613" t="s">
        <v>631</v>
      </c>
      <c r="C438" s="610" t="s">
        <v>379</v>
      </c>
      <c r="D438" s="610" t="s">
        <v>379</v>
      </c>
      <c r="E438" s="610" t="s">
        <v>379</v>
      </c>
      <c r="F438" s="610" t="s">
        <v>379</v>
      </c>
      <c r="G438" s="610" t="s">
        <v>379</v>
      </c>
      <c r="H438" s="611" t="s">
        <v>626</v>
      </c>
    </row>
    <row r="439" spans="1:8" ht="15.75">
      <c r="A439" s="608" t="s">
        <v>632</v>
      </c>
      <c r="B439" s="613" t="s">
        <v>633</v>
      </c>
      <c r="C439" s="610" t="s">
        <v>379</v>
      </c>
      <c r="D439" s="610" t="s">
        <v>379</v>
      </c>
      <c r="E439" s="610" t="s">
        <v>379</v>
      </c>
      <c r="F439" s="610" t="s">
        <v>379</v>
      </c>
      <c r="G439" s="610" t="s">
        <v>379</v>
      </c>
      <c r="H439" s="611" t="s">
        <v>626</v>
      </c>
    </row>
    <row r="440" spans="1:8" ht="12.75" customHeight="1">
      <c r="A440" s="608">
        <v>2</v>
      </c>
      <c r="B440" s="706" t="s">
        <v>634</v>
      </c>
      <c r="C440" s="706"/>
      <c r="D440" s="706"/>
      <c r="E440" s="706"/>
      <c r="F440" s="706"/>
      <c r="G440" s="706"/>
      <c r="H440" s="706"/>
    </row>
    <row r="441" spans="1:8" ht="31.5">
      <c r="A441" s="608" t="s">
        <v>321</v>
      </c>
      <c r="B441" s="612" t="s">
        <v>635</v>
      </c>
      <c r="C441" s="610" t="s">
        <v>676</v>
      </c>
      <c r="D441" s="610" t="s">
        <v>677</v>
      </c>
      <c r="E441" s="610" t="s">
        <v>379</v>
      </c>
      <c r="F441" s="610" t="s">
        <v>379</v>
      </c>
      <c r="G441" s="614">
        <v>0</v>
      </c>
      <c r="H441" s="611"/>
    </row>
    <row r="442" spans="1:8" ht="47.25">
      <c r="A442" s="608" t="s">
        <v>325</v>
      </c>
      <c r="B442" s="612" t="s">
        <v>638</v>
      </c>
      <c r="C442" s="610" t="s">
        <v>379</v>
      </c>
      <c r="D442" s="610" t="s">
        <v>379</v>
      </c>
      <c r="E442" s="610" t="s">
        <v>379</v>
      </c>
      <c r="F442" s="610" t="s">
        <v>379</v>
      </c>
      <c r="G442" s="610" t="s">
        <v>379</v>
      </c>
      <c r="H442" s="611" t="s">
        <v>626</v>
      </c>
    </row>
    <row r="443" spans="1:8" ht="31.5">
      <c r="A443" s="608" t="s">
        <v>639</v>
      </c>
      <c r="B443" s="612" t="s">
        <v>640</v>
      </c>
      <c r="C443" s="610" t="s">
        <v>379</v>
      </c>
      <c r="D443" s="610" t="s">
        <v>379</v>
      </c>
      <c r="E443" s="610" t="s">
        <v>379</v>
      </c>
      <c r="F443" s="610" t="s">
        <v>379</v>
      </c>
      <c r="G443" s="610" t="s">
        <v>379</v>
      </c>
      <c r="H443" s="611" t="s">
        <v>626</v>
      </c>
    </row>
    <row r="444" spans="1:8" ht="12.75" customHeight="1">
      <c r="A444" s="608">
        <v>3</v>
      </c>
      <c r="B444" s="706" t="s">
        <v>674</v>
      </c>
      <c r="C444" s="706"/>
      <c r="D444" s="706"/>
      <c r="E444" s="706"/>
      <c r="F444" s="706"/>
      <c r="G444" s="706"/>
      <c r="H444" s="706"/>
    </row>
    <row r="445" spans="1:8" ht="31.5">
      <c r="A445" s="608" t="s">
        <v>378</v>
      </c>
      <c r="B445" s="613" t="s">
        <v>642</v>
      </c>
      <c r="C445" s="610" t="s">
        <v>379</v>
      </c>
      <c r="D445" s="610" t="s">
        <v>379</v>
      </c>
      <c r="E445" s="610" t="s">
        <v>379</v>
      </c>
      <c r="F445" s="610" t="s">
        <v>379</v>
      </c>
      <c r="G445" s="610" t="s">
        <v>379</v>
      </c>
      <c r="H445" s="611" t="s">
        <v>626</v>
      </c>
    </row>
    <row r="446" spans="1:8" ht="15.75">
      <c r="A446" s="608" t="s">
        <v>643</v>
      </c>
      <c r="B446" s="613" t="s">
        <v>644</v>
      </c>
      <c r="C446" s="610" t="s">
        <v>676</v>
      </c>
      <c r="D446" s="610" t="s">
        <v>694</v>
      </c>
      <c r="E446" s="610" t="s">
        <v>379</v>
      </c>
      <c r="F446" s="610" t="s">
        <v>379</v>
      </c>
      <c r="G446" s="614">
        <v>0</v>
      </c>
      <c r="H446" s="611"/>
    </row>
    <row r="447" spans="1:8" ht="15.75">
      <c r="A447" s="608" t="s">
        <v>380</v>
      </c>
      <c r="B447" s="613" t="s">
        <v>646</v>
      </c>
      <c r="C447" s="610" t="s">
        <v>694</v>
      </c>
      <c r="D447" s="610" t="s">
        <v>680</v>
      </c>
      <c r="E447" s="610" t="s">
        <v>379</v>
      </c>
      <c r="F447" s="610" t="s">
        <v>379</v>
      </c>
      <c r="G447" s="614">
        <v>0</v>
      </c>
      <c r="H447" s="611"/>
    </row>
    <row r="448" spans="1:8" ht="15.75">
      <c r="A448" s="608" t="s">
        <v>649</v>
      </c>
      <c r="B448" s="613" t="s">
        <v>650</v>
      </c>
      <c r="C448" s="610" t="s">
        <v>681</v>
      </c>
      <c r="D448" s="610" t="s">
        <v>682</v>
      </c>
      <c r="E448" s="610" t="s">
        <v>379</v>
      </c>
      <c r="F448" s="610" t="s">
        <v>379</v>
      </c>
      <c r="G448" s="614">
        <v>0</v>
      </c>
      <c r="H448" s="611"/>
    </row>
    <row r="449" spans="1:8" ht="15.75">
      <c r="A449" s="608" t="s">
        <v>653</v>
      </c>
      <c r="B449" s="613" t="s">
        <v>654</v>
      </c>
      <c r="C449" s="610" t="s">
        <v>682</v>
      </c>
      <c r="D449" s="610" t="s">
        <v>677</v>
      </c>
      <c r="E449" s="610" t="s">
        <v>379</v>
      </c>
      <c r="F449" s="610" t="s">
        <v>379</v>
      </c>
      <c r="G449" s="614">
        <v>0</v>
      </c>
      <c r="H449" s="611"/>
    </row>
    <row r="450" spans="1:8" ht="12.75" customHeight="1">
      <c r="A450" s="608">
        <v>4</v>
      </c>
      <c r="B450" s="706" t="s">
        <v>656</v>
      </c>
      <c r="C450" s="706"/>
      <c r="D450" s="706"/>
      <c r="E450" s="706"/>
      <c r="F450" s="706"/>
      <c r="G450" s="706"/>
      <c r="H450" s="706"/>
    </row>
    <row r="451" spans="1:8" ht="31.5">
      <c r="A451" s="608" t="s">
        <v>657</v>
      </c>
      <c r="B451" s="612" t="s">
        <v>658</v>
      </c>
      <c r="C451" s="610" t="s">
        <v>379</v>
      </c>
      <c r="D451" s="610" t="s">
        <v>379</v>
      </c>
      <c r="E451" s="610" t="s">
        <v>379</v>
      </c>
      <c r="F451" s="610" t="s">
        <v>379</v>
      </c>
      <c r="G451" s="610" t="s">
        <v>379</v>
      </c>
      <c r="H451" s="611" t="s">
        <v>626</v>
      </c>
    </row>
    <row r="452" spans="1:8" ht="47.25">
      <c r="A452" s="608" t="s">
        <v>659</v>
      </c>
      <c r="B452" s="612" t="s">
        <v>660</v>
      </c>
      <c r="C452" s="610" t="s">
        <v>379</v>
      </c>
      <c r="D452" s="610" t="s">
        <v>379</v>
      </c>
      <c r="E452" s="610" t="s">
        <v>379</v>
      </c>
      <c r="F452" s="610" t="s">
        <v>379</v>
      </c>
      <c r="G452" s="610" t="s">
        <v>379</v>
      </c>
      <c r="H452" s="611" t="s">
        <v>626</v>
      </c>
    </row>
    <row r="453" spans="1:8" ht="31.5">
      <c r="A453" s="608" t="s">
        <v>661</v>
      </c>
      <c r="B453" s="613" t="s">
        <v>662</v>
      </c>
      <c r="C453" s="610" t="s">
        <v>379</v>
      </c>
      <c r="D453" s="610" t="s">
        <v>379</v>
      </c>
      <c r="E453" s="610" t="s">
        <v>379</v>
      </c>
      <c r="F453" s="610" t="s">
        <v>379</v>
      </c>
      <c r="G453" s="610" t="s">
        <v>379</v>
      </c>
      <c r="H453" s="611" t="s">
        <v>626</v>
      </c>
    </row>
    <row r="454" spans="1:8" ht="31.5">
      <c r="A454" s="615" t="s">
        <v>663</v>
      </c>
      <c r="B454" s="616" t="s">
        <v>664</v>
      </c>
      <c r="C454" s="617" t="s">
        <v>379</v>
      </c>
      <c r="D454" s="617" t="s">
        <v>379</v>
      </c>
      <c r="E454" s="617" t="s">
        <v>379</v>
      </c>
      <c r="F454" s="617" t="s">
        <v>379</v>
      </c>
      <c r="G454" s="617" t="s">
        <v>379</v>
      </c>
      <c r="H454" s="618" t="s">
        <v>626</v>
      </c>
    </row>
    <row r="455" spans="1:8" ht="15.75">
      <c r="A455" s="619"/>
      <c r="B455" s="620"/>
      <c r="C455" s="621"/>
      <c r="D455" s="621"/>
      <c r="E455" s="621"/>
      <c r="F455" s="621"/>
      <c r="G455" s="621"/>
      <c r="H455" s="148"/>
    </row>
    <row r="456" spans="1:8" ht="12.75" customHeight="1">
      <c r="A456" s="707" t="s">
        <v>665</v>
      </c>
      <c r="B456" s="707"/>
      <c r="C456" s="707"/>
      <c r="D456" s="707"/>
      <c r="E456" s="707"/>
      <c r="F456" s="707"/>
      <c r="G456" s="707"/>
      <c r="H456" s="707"/>
    </row>
    <row r="458" ht="15.75">
      <c r="H458" s="11" t="s">
        <v>609</v>
      </c>
    </row>
    <row r="459" ht="15.75">
      <c r="H459" s="11" t="s">
        <v>610</v>
      </c>
    </row>
    <row r="460" ht="15.75">
      <c r="H460" s="11" t="s">
        <v>611</v>
      </c>
    </row>
    <row r="461" ht="15.75">
      <c r="H461" s="11"/>
    </row>
    <row r="462" spans="1:8" ht="12.75" customHeight="1">
      <c r="A462" s="713" t="s">
        <v>612</v>
      </c>
      <c r="B462" s="713"/>
      <c r="C462" s="713"/>
      <c r="D462" s="713"/>
      <c r="E462" s="713"/>
      <c r="F462" s="713"/>
      <c r="G462" s="713"/>
      <c r="H462" s="713"/>
    </row>
    <row r="463" spans="1:8" ht="12.75" customHeight="1">
      <c r="A463" s="713" t="s">
        <v>613</v>
      </c>
      <c r="B463" s="713"/>
      <c r="C463" s="713"/>
      <c r="D463" s="713"/>
      <c r="E463" s="713"/>
      <c r="F463" s="713"/>
      <c r="G463" s="713"/>
      <c r="H463" s="713"/>
    </row>
    <row r="464" ht="15.75">
      <c r="H464" s="11" t="s">
        <v>43</v>
      </c>
    </row>
    <row r="465" ht="15.75">
      <c r="H465" s="11" t="s">
        <v>44</v>
      </c>
    </row>
    <row r="466" ht="15.75">
      <c r="H466" s="11" t="s">
        <v>45</v>
      </c>
    </row>
    <row r="467" ht="15.75">
      <c r="H467" s="594" t="s">
        <v>614</v>
      </c>
    </row>
    <row r="468" ht="15.75">
      <c r="H468" s="11" t="s">
        <v>615</v>
      </c>
    </row>
    <row r="469" ht="15.75">
      <c r="H469" s="11" t="s">
        <v>47</v>
      </c>
    </row>
    <row r="470" ht="15.75">
      <c r="A470" s="595"/>
    </row>
    <row r="471" ht="15.75">
      <c r="A471" s="3" t="s">
        <v>697</v>
      </c>
    </row>
    <row r="472" spans="1:8" ht="12.75" customHeight="1">
      <c r="A472" s="717" t="s">
        <v>0</v>
      </c>
      <c r="B472" s="714"/>
      <c r="C472" s="714"/>
      <c r="D472" s="714"/>
      <c r="E472" s="714"/>
      <c r="F472" s="714"/>
      <c r="G472" s="714"/>
      <c r="H472" s="714"/>
    </row>
    <row r="473" spans="1:8" ht="16.5" thickBot="1">
      <c r="A473" s="597"/>
      <c r="B473" s="597"/>
      <c r="C473" s="598"/>
      <c r="D473" s="598"/>
      <c r="E473" s="598"/>
      <c r="F473" s="598"/>
      <c r="G473" s="598"/>
      <c r="H473" s="598"/>
    </row>
    <row r="474" spans="1:8" ht="12.75" customHeight="1">
      <c r="A474" s="708" t="s">
        <v>617</v>
      </c>
      <c r="B474" s="710" t="s">
        <v>618</v>
      </c>
      <c r="C474" s="711" t="s">
        <v>619</v>
      </c>
      <c r="D474" s="711"/>
      <c r="E474" s="711"/>
      <c r="F474" s="711"/>
      <c r="G474" s="712" t="s">
        <v>620</v>
      </c>
      <c r="H474" s="708" t="s">
        <v>621</v>
      </c>
    </row>
    <row r="475" spans="1:8" ht="15.75">
      <c r="A475" s="708"/>
      <c r="B475" s="710"/>
      <c r="C475" s="711"/>
      <c r="D475" s="711"/>
      <c r="E475" s="711"/>
      <c r="F475" s="711"/>
      <c r="G475" s="712"/>
      <c r="H475" s="708"/>
    </row>
    <row r="476" spans="1:8" ht="31.5">
      <c r="A476" s="708"/>
      <c r="B476" s="710"/>
      <c r="C476" s="601" t="s">
        <v>622</v>
      </c>
      <c r="D476" s="601" t="s">
        <v>623</v>
      </c>
      <c r="E476" s="602" t="s">
        <v>622</v>
      </c>
      <c r="F476" s="603" t="s">
        <v>623</v>
      </c>
      <c r="G476" s="712"/>
      <c r="H476" s="708"/>
    </row>
    <row r="477" spans="1:8" ht="15.75">
      <c r="A477" s="599">
        <v>1</v>
      </c>
      <c r="B477" s="599">
        <v>2</v>
      </c>
      <c r="C477" s="604">
        <v>3</v>
      </c>
      <c r="D477" s="604">
        <v>4</v>
      </c>
      <c r="E477" s="605"/>
      <c r="F477" s="606"/>
      <c r="G477" s="600">
        <v>5</v>
      </c>
      <c r="H477" s="599">
        <v>6</v>
      </c>
    </row>
    <row r="478" spans="1:8" ht="12.75" customHeight="1">
      <c r="A478" s="607">
        <v>1</v>
      </c>
      <c r="B478" s="709" t="s">
        <v>624</v>
      </c>
      <c r="C478" s="709"/>
      <c r="D478" s="709"/>
      <c r="E478" s="709"/>
      <c r="F478" s="709"/>
      <c r="G478" s="709"/>
      <c r="H478" s="709"/>
    </row>
    <row r="479" spans="1:8" ht="15.75">
      <c r="A479" s="608" t="s">
        <v>74</v>
      </c>
      <c r="B479" s="609" t="s">
        <v>625</v>
      </c>
      <c r="C479" s="610" t="s">
        <v>379</v>
      </c>
      <c r="D479" s="610" t="s">
        <v>379</v>
      </c>
      <c r="E479" s="610" t="s">
        <v>379</v>
      </c>
      <c r="F479" s="610" t="s">
        <v>379</v>
      </c>
      <c r="G479" s="610" t="s">
        <v>379</v>
      </c>
      <c r="H479" s="611" t="s">
        <v>626</v>
      </c>
    </row>
    <row r="480" spans="1:8" ht="15.75">
      <c r="A480" s="608" t="s">
        <v>313</v>
      </c>
      <c r="B480" s="609" t="s">
        <v>627</v>
      </c>
      <c r="C480" s="610" t="s">
        <v>379</v>
      </c>
      <c r="D480" s="610" t="s">
        <v>379</v>
      </c>
      <c r="E480" s="610" t="s">
        <v>379</v>
      </c>
      <c r="F480" s="610" t="s">
        <v>379</v>
      </c>
      <c r="G480" s="610" t="s">
        <v>379</v>
      </c>
      <c r="H480" s="611" t="s">
        <v>626</v>
      </c>
    </row>
    <row r="481" spans="1:8" ht="31.5">
      <c r="A481" s="608" t="s">
        <v>315</v>
      </c>
      <c r="B481" s="612" t="s">
        <v>628</v>
      </c>
      <c r="C481" s="610" t="s">
        <v>379</v>
      </c>
      <c r="D481" s="610" t="s">
        <v>379</v>
      </c>
      <c r="E481" s="610" t="s">
        <v>379</v>
      </c>
      <c r="F481" s="610" t="s">
        <v>379</v>
      </c>
      <c r="G481" s="610" t="s">
        <v>379</v>
      </c>
      <c r="H481" s="611" t="s">
        <v>626</v>
      </c>
    </row>
    <row r="482" spans="1:8" ht="47.25">
      <c r="A482" s="608" t="s">
        <v>317</v>
      </c>
      <c r="B482" s="612" t="s">
        <v>629</v>
      </c>
      <c r="C482" s="610" t="s">
        <v>379</v>
      </c>
      <c r="D482" s="610" t="s">
        <v>379</v>
      </c>
      <c r="E482" s="610" t="s">
        <v>379</v>
      </c>
      <c r="F482" s="610" t="s">
        <v>379</v>
      </c>
      <c r="G482" s="610" t="s">
        <v>379</v>
      </c>
      <c r="H482" s="611" t="s">
        <v>626</v>
      </c>
    </row>
    <row r="483" spans="1:8" ht="15.75">
      <c r="A483" s="608" t="s">
        <v>630</v>
      </c>
      <c r="B483" s="613" t="s">
        <v>631</v>
      </c>
      <c r="C483" s="610" t="s">
        <v>379</v>
      </c>
      <c r="D483" s="610" t="s">
        <v>379</v>
      </c>
      <c r="E483" s="610" t="s">
        <v>379</v>
      </c>
      <c r="F483" s="610" t="s">
        <v>379</v>
      </c>
      <c r="G483" s="610" t="s">
        <v>379</v>
      </c>
      <c r="H483" s="611" t="s">
        <v>626</v>
      </c>
    </row>
    <row r="484" spans="1:8" ht="15.75">
      <c r="A484" s="608" t="s">
        <v>632</v>
      </c>
      <c r="B484" s="613" t="s">
        <v>633</v>
      </c>
      <c r="C484" s="610" t="s">
        <v>379</v>
      </c>
      <c r="D484" s="610" t="s">
        <v>379</v>
      </c>
      <c r="E484" s="610" t="s">
        <v>379</v>
      </c>
      <c r="F484" s="610" t="s">
        <v>379</v>
      </c>
      <c r="G484" s="610" t="s">
        <v>379</v>
      </c>
      <c r="H484" s="611" t="s">
        <v>626</v>
      </c>
    </row>
    <row r="485" spans="1:8" ht="12.75" customHeight="1">
      <c r="A485" s="608">
        <v>2</v>
      </c>
      <c r="B485" s="706" t="s">
        <v>634</v>
      </c>
      <c r="C485" s="706"/>
      <c r="D485" s="706"/>
      <c r="E485" s="706"/>
      <c r="F485" s="706"/>
      <c r="G485" s="706"/>
      <c r="H485" s="706"/>
    </row>
    <row r="486" spans="1:8" ht="31.5">
      <c r="A486" s="608" t="s">
        <v>321</v>
      </c>
      <c r="B486" s="612" t="s">
        <v>635</v>
      </c>
      <c r="C486" s="610" t="s">
        <v>676</v>
      </c>
      <c r="D486" s="610" t="s">
        <v>677</v>
      </c>
      <c r="E486" s="610" t="s">
        <v>379</v>
      </c>
      <c r="F486" s="610" t="s">
        <v>379</v>
      </c>
      <c r="G486" s="614">
        <v>0</v>
      </c>
      <c r="H486" s="611"/>
    </row>
    <row r="487" spans="1:8" ht="47.25">
      <c r="A487" s="608" t="s">
        <v>325</v>
      </c>
      <c r="B487" s="612" t="s">
        <v>638</v>
      </c>
      <c r="C487" s="610" t="s">
        <v>379</v>
      </c>
      <c r="D487" s="610" t="s">
        <v>379</v>
      </c>
      <c r="E487" s="610" t="s">
        <v>379</v>
      </c>
      <c r="F487" s="610" t="s">
        <v>379</v>
      </c>
      <c r="G487" s="610" t="s">
        <v>379</v>
      </c>
      <c r="H487" s="611" t="s">
        <v>626</v>
      </c>
    </row>
    <row r="488" spans="1:8" ht="31.5">
      <c r="A488" s="608" t="s">
        <v>639</v>
      </c>
      <c r="B488" s="612" t="s">
        <v>640</v>
      </c>
      <c r="C488" s="610" t="s">
        <v>379</v>
      </c>
      <c r="D488" s="610" t="s">
        <v>379</v>
      </c>
      <c r="E488" s="610" t="s">
        <v>379</v>
      </c>
      <c r="F488" s="610" t="s">
        <v>379</v>
      </c>
      <c r="G488" s="610" t="s">
        <v>379</v>
      </c>
      <c r="H488" s="611" t="s">
        <v>626</v>
      </c>
    </row>
    <row r="489" spans="1:8" ht="12.75" customHeight="1">
      <c r="A489" s="608">
        <v>3</v>
      </c>
      <c r="B489" s="706" t="s">
        <v>674</v>
      </c>
      <c r="C489" s="706"/>
      <c r="D489" s="706"/>
      <c r="E489" s="706"/>
      <c r="F489" s="706"/>
      <c r="G489" s="706"/>
      <c r="H489" s="706"/>
    </row>
    <row r="490" spans="1:8" ht="31.5">
      <c r="A490" s="608" t="s">
        <v>378</v>
      </c>
      <c r="B490" s="613" t="s">
        <v>642</v>
      </c>
      <c r="C490" s="610" t="s">
        <v>379</v>
      </c>
      <c r="D490" s="610" t="s">
        <v>379</v>
      </c>
      <c r="E490" s="610" t="s">
        <v>379</v>
      </c>
      <c r="F490" s="610" t="s">
        <v>379</v>
      </c>
      <c r="G490" s="610" t="s">
        <v>379</v>
      </c>
      <c r="H490" s="611" t="s">
        <v>626</v>
      </c>
    </row>
    <row r="491" spans="1:8" ht="15.75">
      <c r="A491" s="608" t="s">
        <v>643</v>
      </c>
      <c r="B491" s="613" t="s">
        <v>644</v>
      </c>
      <c r="C491" s="610" t="s">
        <v>676</v>
      </c>
      <c r="D491" s="610" t="s">
        <v>698</v>
      </c>
      <c r="E491" s="610" t="s">
        <v>379</v>
      </c>
      <c r="F491" s="610" t="s">
        <v>379</v>
      </c>
      <c r="G491" s="614">
        <v>0</v>
      </c>
      <c r="H491" s="611"/>
    </row>
    <row r="492" spans="1:8" ht="15.75">
      <c r="A492" s="608" t="s">
        <v>380</v>
      </c>
      <c r="B492" s="613" t="s">
        <v>646</v>
      </c>
      <c r="C492" s="610" t="s">
        <v>699</v>
      </c>
      <c r="D492" s="610" t="s">
        <v>680</v>
      </c>
      <c r="E492" s="610" t="s">
        <v>379</v>
      </c>
      <c r="F492" s="610" t="s">
        <v>379</v>
      </c>
      <c r="G492" s="614">
        <v>0</v>
      </c>
      <c r="H492" s="611"/>
    </row>
    <row r="493" spans="1:8" ht="15.75">
      <c r="A493" s="608" t="s">
        <v>649</v>
      </c>
      <c r="B493" s="613" t="s">
        <v>650</v>
      </c>
      <c r="C493" s="610" t="s">
        <v>681</v>
      </c>
      <c r="D493" s="610" t="s">
        <v>700</v>
      </c>
      <c r="E493" s="610" t="s">
        <v>379</v>
      </c>
      <c r="F493" s="610" t="s">
        <v>379</v>
      </c>
      <c r="G493" s="614">
        <v>0</v>
      </c>
      <c r="H493" s="611"/>
    </row>
    <row r="494" spans="1:8" ht="15.75">
      <c r="A494" s="608" t="s">
        <v>653</v>
      </c>
      <c r="B494" s="613" t="s">
        <v>654</v>
      </c>
      <c r="C494" s="610" t="s">
        <v>701</v>
      </c>
      <c r="D494" s="610" t="s">
        <v>677</v>
      </c>
      <c r="E494" s="610" t="s">
        <v>379</v>
      </c>
      <c r="F494" s="610" t="s">
        <v>379</v>
      </c>
      <c r="G494" s="614">
        <v>0</v>
      </c>
      <c r="H494" s="611"/>
    </row>
    <row r="495" spans="1:8" ht="12.75" customHeight="1">
      <c r="A495" s="608">
        <v>4</v>
      </c>
      <c r="B495" s="706" t="s">
        <v>656</v>
      </c>
      <c r="C495" s="706"/>
      <c r="D495" s="706"/>
      <c r="E495" s="706"/>
      <c r="F495" s="706"/>
      <c r="G495" s="706"/>
      <c r="H495" s="706"/>
    </row>
    <row r="496" spans="1:8" ht="31.5">
      <c r="A496" s="608" t="s">
        <v>657</v>
      </c>
      <c r="B496" s="612" t="s">
        <v>658</v>
      </c>
      <c r="C496" s="610" t="s">
        <v>379</v>
      </c>
      <c r="D496" s="610" t="s">
        <v>379</v>
      </c>
      <c r="E496" s="610" t="s">
        <v>379</v>
      </c>
      <c r="F496" s="610" t="s">
        <v>379</v>
      </c>
      <c r="G496" s="610" t="s">
        <v>379</v>
      </c>
      <c r="H496" s="611" t="s">
        <v>626</v>
      </c>
    </row>
    <row r="497" spans="1:8" ht="47.25">
      <c r="A497" s="608" t="s">
        <v>659</v>
      </c>
      <c r="B497" s="612" t="s">
        <v>660</v>
      </c>
      <c r="C497" s="610" t="s">
        <v>379</v>
      </c>
      <c r="D497" s="610" t="s">
        <v>379</v>
      </c>
      <c r="E497" s="610" t="s">
        <v>379</v>
      </c>
      <c r="F497" s="610" t="s">
        <v>379</v>
      </c>
      <c r="G497" s="610" t="s">
        <v>379</v>
      </c>
      <c r="H497" s="611" t="s">
        <v>626</v>
      </c>
    </row>
    <row r="498" spans="1:8" ht="31.5">
      <c r="A498" s="608" t="s">
        <v>661</v>
      </c>
      <c r="B498" s="613" t="s">
        <v>662</v>
      </c>
      <c r="C498" s="610" t="s">
        <v>379</v>
      </c>
      <c r="D498" s="610" t="s">
        <v>379</v>
      </c>
      <c r="E498" s="610" t="s">
        <v>379</v>
      </c>
      <c r="F498" s="610" t="s">
        <v>379</v>
      </c>
      <c r="G498" s="610" t="s">
        <v>379</v>
      </c>
      <c r="H498" s="611" t="s">
        <v>626</v>
      </c>
    </row>
    <row r="499" spans="1:8" ht="31.5">
      <c r="A499" s="615" t="s">
        <v>663</v>
      </c>
      <c r="B499" s="616" t="s">
        <v>664</v>
      </c>
      <c r="C499" s="617" t="s">
        <v>379</v>
      </c>
      <c r="D499" s="617" t="s">
        <v>379</v>
      </c>
      <c r="E499" s="617" t="s">
        <v>379</v>
      </c>
      <c r="F499" s="617" t="s">
        <v>379</v>
      </c>
      <c r="G499" s="617" t="s">
        <v>379</v>
      </c>
      <c r="H499" s="618" t="s">
        <v>626</v>
      </c>
    </row>
    <row r="500" spans="1:8" ht="15.75">
      <c r="A500" s="619"/>
      <c r="B500" s="620"/>
      <c r="C500" s="621"/>
      <c r="D500" s="621"/>
      <c r="E500" s="621"/>
      <c r="F500" s="621"/>
      <c r="G500" s="621"/>
      <c r="H500" s="148"/>
    </row>
    <row r="501" spans="1:8" ht="12.75" customHeight="1">
      <c r="A501" s="707" t="s">
        <v>665</v>
      </c>
      <c r="B501" s="707"/>
      <c r="C501" s="707"/>
      <c r="D501" s="707"/>
      <c r="E501" s="707"/>
      <c r="F501" s="707"/>
      <c r="G501" s="707"/>
      <c r="H501" s="707"/>
    </row>
    <row r="503" ht="15.75">
      <c r="H503" s="11" t="s">
        <v>609</v>
      </c>
    </row>
    <row r="504" ht="15.75">
      <c r="H504" s="11" t="s">
        <v>610</v>
      </c>
    </row>
    <row r="505" ht="15.75">
      <c r="H505" s="11" t="s">
        <v>611</v>
      </c>
    </row>
    <row r="506" ht="15.75">
      <c r="H506" s="11"/>
    </row>
    <row r="507" spans="1:8" ht="12.75" customHeight="1">
      <c r="A507" s="713" t="s">
        <v>612</v>
      </c>
      <c r="B507" s="713"/>
      <c r="C507" s="713"/>
      <c r="D507" s="713"/>
      <c r="E507" s="713"/>
      <c r="F507" s="713"/>
      <c r="G507" s="713"/>
      <c r="H507" s="713"/>
    </row>
    <row r="508" spans="1:8" ht="12.75" customHeight="1">
      <c r="A508" s="713" t="s">
        <v>613</v>
      </c>
      <c r="B508" s="713"/>
      <c r="C508" s="713"/>
      <c r="D508" s="713"/>
      <c r="E508" s="713"/>
      <c r="F508" s="713"/>
      <c r="G508" s="713"/>
      <c r="H508" s="713"/>
    </row>
    <row r="509" ht="15.75">
      <c r="H509" s="11" t="s">
        <v>43</v>
      </c>
    </row>
    <row r="510" ht="15.75">
      <c r="H510" s="11" t="s">
        <v>44</v>
      </c>
    </row>
    <row r="511" ht="15.75">
      <c r="H511" s="11" t="s">
        <v>45</v>
      </c>
    </row>
    <row r="512" ht="15.75">
      <c r="H512" s="594" t="s">
        <v>614</v>
      </c>
    </row>
    <row r="513" ht="15.75">
      <c r="H513" s="11" t="s">
        <v>615</v>
      </c>
    </row>
    <row r="514" ht="15.75">
      <c r="H514" s="11" t="s">
        <v>47</v>
      </c>
    </row>
    <row r="515" ht="15.75">
      <c r="A515" s="595"/>
    </row>
    <row r="516" ht="15.75">
      <c r="A516" s="3" t="s">
        <v>702</v>
      </c>
    </row>
    <row r="517" spans="1:8" ht="12.75" customHeight="1">
      <c r="A517" s="717" t="s">
        <v>0</v>
      </c>
      <c r="B517" s="714"/>
      <c r="C517" s="714"/>
      <c r="D517" s="714"/>
      <c r="E517" s="714"/>
      <c r="F517" s="714"/>
      <c r="G517" s="714"/>
      <c r="H517" s="714"/>
    </row>
    <row r="518" spans="1:8" ht="16.5" thickBot="1">
      <c r="A518" s="597"/>
      <c r="B518" s="597"/>
      <c r="C518" s="598"/>
      <c r="D518" s="598"/>
      <c r="E518" s="598"/>
      <c r="F518" s="598"/>
      <c r="G518" s="598"/>
      <c r="H518" s="598"/>
    </row>
    <row r="519" spans="1:8" ht="12.75" customHeight="1">
      <c r="A519" s="708" t="s">
        <v>617</v>
      </c>
      <c r="B519" s="710" t="s">
        <v>618</v>
      </c>
      <c r="C519" s="711" t="s">
        <v>619</v>
      </c>
      <c r="D519" s="711"/>
      <c r="E519" s="711"/>
      <c r="F519" s="711"/>
      <c r="G519" s="712" t="s">
        <v>620</v>
      </c>
      <c r="H519" s="708" t="s">
        <v>621</v>
      </c>
    </row>
    <row r="520" spans="1:8" ht="15.75">
      <c r="A520" s="708"/>
      <c r="B520" s="710"/>
      <c r="C520" s="711"/>
      <c r="D520" s="711"/>
      <c r="E520" s="711"/>
      <c r="F520" s="711"/>
      <c r="G520" s="712"/>
      <c r="H520" s="708"/>
    </row>
    <row r="521" spans="1:8" ht="31.5">
      <c r="A521" s="708"/>
      <c r="B521" s="710"/>
      <c r="C521" s="601" t="s">
        <v>622</v>
      </c>
      <c r="D521" s="601" t="s">
        <v>623</v>
      </c>
      <c r="E521" s="602" t="s">
        <v>622</v>
      </c>
      <c r="F521" s="603" t="s">
        <v>623</v>
      </c>
      <c r="G521" s="712"/>
      <c r="H521" s="708"/>
    </row>
    <row r="522" spans="1:8" ht="15.75">
      <c r="A522" s="599">
        <v>1</v>
      </c>
      <c r="B522" s="599">
        <v>2</v>
      </c>
      <c r="C522" s="604">
        <v>3</v>
      </c>
      <c r="D522" s="604">
        <v>4</v>
      </c>
      <c r="E522" s="605"/>
      <c r="F522" s="606"/>
      <c r="G522" s="600">
        <v>5</v>
      </c>
      <c r="H522" s="599">
        <v>6</v>
      </c>
    </row>
    <row r="523" spans="1:8" ht="12.75" customHeight="1">
      <c r="A523" s="607">
        <v>1</v>
      </c>
      <c r="B523" s="709" t="s">
        <v>624</v>
      </c>
      <c r="C523" s="709"/>
      <c r="D523" s="709"/>
      <c r="E523" s="709"/>
      <c r="F523" s="709"/>
      <c r="G523" s="709"/>
      <c r="H523" s="709"/>
    </row>
    <row r="524" spans="1:8" ht="15.75">
      <c r="A524" s="608" t="s">
        <v>74</v>
      </c>
      <c r="B524" s="609" t="s">
        <v>625</v>
      </c>
      <c r="C524" s="610" t="s">
        <v>379</v>
      </c>
      <c r="D524" s="610" t="s">
        <v>379</v>
      </c>
      <c r="E524" s="610" t="s">
        <v>379</v>
      </c>
      <c r="F524" s="610" t="s">
        <v>379</v>
      </c>
      <c r="G524" s="610" t="s">
        <v>379</v>
      </c>
      <c r="H524" s="611" t="s">
        <v>626</v>
      </c>
    </row>
    <row r="525" spans="1:8" ht="15.75">
      <c r="A525" s="608" t="s">
        <v>313</v>
      </c>
      <c r="B525" s="609" t="s">
        <v>627</v>
      </c>
      <c r="C525" s="610" t="s">
        <v>379</v>
      </c>
      <c r="D525" s="610" t="s">
        <v>379</v>
      </c>
      <c r="E525" s="610" t="s">
        <v>379</v>
      </c>
      <c r="F525" s="610" t="s">
        <v>379</v>
      </c>
      <c r="G525" s="610" t="s">
        <v>379</v>
      </c>
      <c r="H525" s="611" t="s">
        <v>626</v>
      </c>
    </row>
    <row r="526" spans="1:8" ht="31.5">
      <c r="A526" s="608" t="s">
        <v>315</v>
      </c>
      <c r="B526" s="612" t="s">
        <v>628</v>
      </c>
      <c r="C526" s="610" t="s">
        <v>379</v>
      </c>
      <c r="D526" s="610" t="s">
        <v>379</v>
      </c>
      <c r="E526" s="610" t="s">
        <v>379</v>
      </c>
      <c r="F526" s="610" t="s">
        <v>379</v>
      </c>
      <c r="G526" s="610" t="s">
        <v>379</v>
      </c>
      <c r="H526" s="611" t="s">
        <v>626</v>
      </c>
    </row>
    <row r="527" spans="1:8" ht="47.25">
      <c r="A527" s="608" t="s">
        <v>317</v>
      </c>
      <c r="B527" s="612" t="s">
        <v>629</v>
      </c>
      <c r="C527" s="610" t="s">
        <v>379</v>
      </c>
      <c r="D527" s="610" t="s">
        <v>379</v>
      </c>
      <c r="E527" s="610" t="s">
        <v>379</v>
      </c>
      <c r="F527" s="610" t="s">
        <v>379</v>
      </c>
      <c r="G527" s="610" t="s">
        <v>379</v>
      </c>
      <c r="H527" s="611" t="s">
        <v>626</v>
      </c>
    </row>
    <row r="528" spans="1:8" ht="15.75">
      <c r="A528" s="608" t="s">
        <v>630</v>
      </c>
      <c r="B528" s="613" t="s">
        <v>631</v>
      </c>
      <c r="C528" s="610" t="s">
        <v>379</v>
      </c>
      <c r="D528" s="610" t="s">
        <v>379</v>
      </c>
      <c r="E528" s="610" t="s">
        <v>379</v>
      </c>
      <c r="F528" s="610" t="s">
        <v>379</v>
      </c>
      <c r="G528" s="610" t="s">
        <v>379</v>
      </c>
      <c r="H528" s="611" t="s">
        <v>626</v>
      </c>
    </row>
    <row r="529" spans="1:8" ht="15.75">
      <c r="A529" s="608" t="s">
        <v>632</v>
      </c>
      <c r="B529" s="613" t="s">
        <v>633</v>
      </c>
      <c r="C529" s="610" t="s">
        <v>379</v>
      </c>
      <c r="D529" s="610" t="s">
        <v>379</v>
      </c>
      <c r="E529" s="610" t="s">
        <v>379</v>
      </c>
      <c r="F529" s="610" t="s">
        <v>379</v>
      </c>
      <c r="G529" s="610" t="s">
        <v>379</v>
      </c>
      <c r="H529" s="611" t="s">
        <v>626</v>
      </c>
    </row>
    <row r="530" spans="1:8" ht="12.75" customHeight="1">
      <c r="A530" s="608">
        <v>2</v>
      </c>
      <c r="B530" s="706" t="s">
        <v>634</v>
      </c>
      <c r="C530" s="706"/>
      <c r="D530" s="706"/>
      <c r="E530" s="706"/>
      <c r="F530" s="706"/>
      <c r="G530" s="706"/>
      <c r="H530" s="706"/>
    </row>
    <row r="531" spans="1:8" ht="31.5">
      <c r="A531" s="608" t="s">
        <v>321</v>
      </c>
      <c r="B531" s="612" t="s">
        <v>635</v>
      </c>
      <c r="C531" s="610" t="s">
        <v>676</v>
      </c>
      <c r="D531" s="610" t="s">
        <v>677</v>
      </c>
      <c r="E531" s="610" t="s">
        <v>379</v>
      </c>
      <c r="F531" s="610" t="s">
        <v>379</v>
      </c>
      <c r="G531" s="614">
        <v>0</v>
      </c>
      <c r="H531" s="611"/>
    </row>
    <row r="532" spans="1:8" ht="47.25">
      <c r="A532" s="608" t="s">
        <v>325</v>
      </c>
      <c r="B532" s="612" t="s">
        <v>638</v>
      </c>
      <c r="C532" s="610" t="s">
        <v>379</v>
      </c>
      <c r="D532" s="610" t="s">
        <v>379</v>
      </c>
      <c r="E532" s="610" t="s">
        <v>379</v>
      </c>
      <c r="F532" s="610" t="s">
        <v>379</v>
      </c>
      <c r="G532" s="610" t="s">
        <v>379</v>
      </c>
      <c r="H532" s="611" t="s">
        <v>626</v>
      </c>
    </row>
    <row r="533" spans="1:8" ht="31.5">
      <c r="A533" s="608" t="s">
        <v>639</v>
      </c>
      <c r="B533" s="612" t="s">
        <v>640</v>
      </c>
      <c r="C533" s="610" t="s">
        <v>379</v>
      </c>
      <c r="D533" s="610" t="s">
        <v>379</v>
      </c>
      <c r="E533" s="610" t="s">
        <v>379</v>
      </c>
      <c r="F533" s="610" t="s">
        <v>379</v>
      </c>
      <c r="G533" s="610" t="s">
        <v>379</v>
      </c>
      <c r="H533" s="611" t="s">
        <v>626</v>
      </c>
    </row>
    <row r="534" spans="1:8" ht="12.75" customHeight="1">
      <c r="A534" s="608">
        <v>3</v>
      </c>
      <c r="B534" s="706" t="s">
        <v>674</v>
      </c>
      <c r="C534" s="706"/>
      <c r="D534" s="706"/>
      <c r="E534" s="706"/>
      <c r="F534" s="706"/>
      <c r="G534" s="706"/>
      <c r="H534" s="706"/>
    </row>
    <row r="535" spans="1:8" ht="31.5">
      <c r="A535" s="608" t="s">
        <v>378</v>
      </c>
      <c r="B535" s="613" t="s">
        <v>642</v>
      </c>
      <c r="C535" s="610" t="s">
        <v>379</v>
      </c>
      <c r="D535" s="610" t="s">
        <v>379</v>
      </c>
      <c r="E535" s="610" t="s">
        <v>379</v>
      </c>
      <c r="F535" s="610" t="s">
        <v>379</v>
      </c>
      <c r="G535" s="610" t="s">
        <v>379</v>
      </c>
      <c r="H535" s="611" t="s">
        <v>626</v>
      </c>
    </row>
    <row r="536" spans="1:8" ht="15.75">
      <c r="A536" s="608" t="s">
        <v>643</v>
      </c>
      <c r="B536" s="613" t="s">
        <v>644</v>
      </c>
      <c r="C536" s="610" t="s">
        <v>676</v>
      </c>
      <c r="D536" s="610" t="s">
        <v>698</v>
      </c>
      <c r="E536" s="610" t="s">
        <v>379</v>
      </c>
      <c r="F536" s="610" t="s">
        <v>379</v>
      </c>
      <c r="G536" s="614">
        <v>0</v>
      </c>
      <c r="H536" s="611"/>
    </row>
    <row r="537" spans="1:8" ht="15.75">
      <c r="A537" s="608" t="s">
        <v>380</v>
      </c>
      <c r="B537" s="613" t="s">
        <v>646</v>
      </c>
      <c r="C537" s="610" t="s">
        <v>699</v>
      </c>
      <c r="D537" s="610" t="s">
        <v>680</v>
      </c>
      <c r="E537" s="610" t="s">
        <v>379</v>
      </c>
      <c r="F537" s="610" t="s">
        <v>379</v>
      </c>
      <c r="G537" s="614">
        <v>0</v>
      </c>
      <c r="H537" s="611"/>
    </row>
    <row r="538" spans="1:8" ht="15.75">
      <c r="A538" s="608" t="s">
        <v>649</v>
      </c>
      <c r="B538" s="613" t="s">
        <v>650</v>
      </c>
      <c r="C538" s="610" t="s">
        <v>681</v>
      </c>
      <c r="D538" s="610" t="s">
        <v>700</v>
      </c>
      <c r="E538" s="610" t="s">
        <v>379</v>
      </c>
      <c r="F538" s="610" t="s">
        <v>379</v>
      </c>
      <c r="G538" s="614">
        <v>0</v>
      </c>
      <c r="H538" s="611"/>
    </row>
    <row r="539" spans="1:8" ht="15.75">
      <c r="A539" s="608" t="s">
        <v>653</v>
      </c>
      <c r="B539" s="613" t="s">
        <v>654</v>
      </c>
      <c r="C539" s="610" t="s">
        <v>701</v>
      </c>
      <c r="D539" s="610" t="s">
        <v>677</v>
      </c>
      <c r="E539" s="610" t="s">
        <v>379</v>
      </c>
      <c r="F539" s="610" t="s">
        <v>379</v>
      </c>
      <c r="G539" s="614">
        <v>0</v>
      </c>
      <c r="H539" s="611"/>
    </row>
    <row r="540" spans="1:8" ht="12.75" customHeight="1">
      <c r="A540" s="608">
        <v>4</v>
      </c>
      <c r="B540" s="706" t="s">
        <v>656</v>
      </c>
      <c r="C540" s="706"/>
      <c r="D540" s="706"/>
      <c r="E540" s="706"/>
      <c r="F540" s="706"/>
      <c r="G540" s="706"/>
      <c r="H540" s="706"/>
    </row>
    <row r="541" spans="1:8" ht="31.5">
      <c r="A541" s="608" t="s">
        <v>657</v>
      </c>
      <c r="B541" s="612" t="s">
        <v>658</v>
      </c>
      <c r="C541" s="610" t="s">
        <v>379</v>
      </c>
      <c r="D541" s="610" t="s">
        <v>379</v>
      </c>
      <c r="E541" s="610" t="s">
        <v>379</v>
      </c>
      <c r="F541" s="610" t="s">
        <v>379</v>
      </c>
      <c r="G541" s="610" t="s">
        <v>379</v>
      </c>
      <c r="H541" s="611" t="s">
        <v>626</v>
      </c>
    </row>
    <row r="542" spans="1:8" ht="47.25">
      <c r="A542" s="608" t="s">
        <v>659</v>
      </c>
      <c r="B542" s="612" t="s">
        <v>660</v>
      </c>
      <c r="C542" s="610" t="s">
        <v>379</v>
      </c>
      <c r="D542" s="610" t="s">
        <v>379</v>
      </c>
      <c r="E542" s="610" t="s">
        <v>379</v>
      </c>
      <c r="F542" s="610" t="s">
        <v>379</v>
      </c>
      <c r="G542" s="610" t="s">
        <v>379</v>
      </c>
      <c r="H542" s="611" t="s">
        <v>626</v>
      </c>
    </row>
    <row r="543" spans="1:8" ht="31.5">
      <c r="A543" s="608" t="s">
        <v>661</v>
      </c>
      <c r="B543" s="613" t="s">
        <v>662</v>
      </c>
      <c r="C543" s="610" t="s">
        <v>379</v>
      </c>
      <c r="D543" s="610" t="s">
        <v>379</v>
      </c>
      <c r="E543" s="610" t="s">
        <v>379</v>
      </c>
      <c r="F543" s="610" t="s">
        <v>379</v>
      </c>
      <c r="G543" s="610" t="s">
        <v>379</v>
      </c>
      <c r="H543" s="611" t="s">
        <v>626</v>
      </c>
    </row>
    <row r="544" spans="1:8" ht="31.5">
      <c r="A544" s="615" t="s">
        <v>663</v>
      </c>
      <c r="B544" s="616" t="s">
        <v>664</v>
      </c>
      <c r="C544" s="617" t="s">
        <v>379</v>
      </c>
      <c r="D544" s="617" t="s">
        <v>379</v>
      </c>
      <c r="E544" s="617" t="s">
        <v>379</v>
      </c>
      <c r="F544" s="617" t="s">
        <v>379</v>
      </c>
      <c r="G544" s="617" t="s">
        <v>379</v>
      </c>
      <c r="H544" s="618" t="s">
        <v>626</v>
      </c>
    </row>
    <row r="545" spans="1:8" ht="15.75">
      <c r="A545" s="619"/>
      <c r="B545" s="620"/>
      <c r="C545" s="621"/>
      <c r="D545" s="621"/>
      <c r="E545" s="621"/>
      <c r="F545" s="621"/>
      <c r="G545" s="621"/>
      <c r="H545" s="148"/>
    </row>
    <row r="546" spans="1:8" ht="12.75" customHeight="1">
      <c r="A546" s="707" t="s">
        <v>665</v>
      </c>
      <c r="B546" s="707"/>
      <c r="C546" s="707"/>
      <c r="D546" s="707"/>
      <c r="E546" s="707"/>
      <c r="F546" s="707"/>
      <c r="G546" s="707"/>
      <c r="H546" s="707"/>
    </row>
    <row r="547" spans="1:8" ht="15.75">
      <c r="A547" s="148"/>
      <c r="B547" s="148"/>
      <c r="C547" s="148"/>
      <c r="D547" s="148"/>
      <c r="E547" s="148"/>
      <c r="F547" s="148"/>
      <c r="G547" s="148"/>
      <c r="H547" s="167"/>
    </row>
    <row r="549" ht="15.75">
      <c r="H549" s="11" t="s">
        <v>609</v>
      </c>
    </row>
    <row r="550" ht="15.75">
      <c r="H550" s="11" t="s">
        <v>610</v>
      </c>
    </row>
    <row r="551" ht="15.75">
      <c r="H551" s="11" t="s">
        <v>611</v>
      </c>
    </row>
    <row r="552" ht="15.75">
      <c r="H552" s="11"/>
    </row>
    <row r="553" spans="1:8" ht="12.75" customHeight="1">
      <c r="A553" s="713" t="s">
        <v>612</v>
      </c>
      <c r="B553" s="713"/>
      <c r="C553" s="713"/>
      <c r="D553" s="713"/>
      <c r="E553" s="713"/>
      <c r="F553" s="713"/>
      <c r="G553" s="713"/>
      <c r="H553" s="713"/>
    </row>
    <row r="554" spans="1:8" ht="12.75" customHeight="1">
      <c r="A554" s="713" t="s">
        <v>613</v>
      </c>
      <c r="B554" s="713"/>
      <c r="C554" s="713"/>
      <c r="D554" s="713"/>
      <c r="E554" s="713"/>
      <c r="F554" s="713"/>
      <c r="G554" s="713"/>
      <c r="H554" s="713"/>
    </row>
    <row r="555" ht="15.75">
      <c r="H555" s="11" t="s">
        <v>43</v>
      </c>
    </row>
    <row r="556" ht="15.75">
      <c r="H556" s="11" t="s">
        <v>44</v>
      </c>
    </row>
    <row r="557" ht="15.75">
      <c r="H557" s="11" t="s">
        <v>45</v>
      </c>
    </row>
    <row r="558" ht="15.75">
      <c r="H558" s="594" t="s">
        <v>614</v>
      </c>
    </row>
    <row r="559" ht="15.75">
      <c r="H559" s="11" t="s">
        <v>615</v>
      </c>
    </row>
    <row r="560" ht="15.75">
      <c r="H560" s="11" t="s">
        <v>47</v>
      </c>
    </row>
    <row r="561" ht="15.75">
      <c r="A561" s="595"/>
    </row>
    <row r="562" ht="15.75">
      <c r="A562" s="3" t="s">
        <v>703</v>
      </c>
    </row>
    <row r="563" spans="1:8" ht="12.75" customHeight="1">
      <c r="A563" s="717" t="s">
        <v>0</v>
      </c>
      <c r="B563" s="714"/>
      <c r="C563" s="714"/>
      <c r="D563" s="714"/>
      <c r="E563" s="714"/>
      <c r="F563" s="714"/>
      <c r="G563" s="714"/>
      <c r="H563" s="714"/>
    </row>
    <row r="564" spans="1:8" ht="16.5" thickBot="1">
      <c r="A564" s="597"/>
      <c r="B564" s="597"/>
      <c r="C564" s="598"/>
      <c r="D564" s="598"/>
      <c r="E564" s="598"/>
      <c r="F564" s="598"/>
      <c r="G564" s="598"/>
      <c r="H564" s="598"/>
    </row>
    <row r="565" spans="1:8" ht="12.75" customHeight="1">
      <c r="A565" s="708" t="s">
        <v>617</v>
      </c>
      <c r="B565" s="710" t="s">
        <v>618</v>
      </c>
      <c r="C565" s="711" t="s">
        <v>619</v>
      </c>
      <c r="D565" s="711"/>
      <c r="E565" s="711"/>
      <c r="F565" s="711"/>
      <c r="G565" s="712" t="s">
        <v>620</v>
      </c>
      <c r="H565" s="708" t="s">
        <v>621</v>
      </c>
    </row>
    <row r="566" spans="1:8" ht="15.75">
      <c r="A566" s="708"/>
      <c r="B566" s="710"/>
      <c r="C566" s="711"/>
      <c r="D566" s="711"/>
      <c r="E566" s="711"/>
      <c r="F566" s="711"/>
      <c r="G566" s="712"/>
      <c r="H566" s="708"/>
    </row>
    <row r="567" spans="1:8" ht="31.5">
      <c r="A567" s="708"/>
      <c r="B567" s="710"/>
      <c r="C567" s="601" t="s">
        <v>622</v>
      </c>
      <c r="D567" s="601" t="s">
        <v>623</v>
      </c>
      <c r="E567" s="602" t="s">
        <v>622</v>
      </c>
      <c r="F567" s="603" t="s">
        <v>623</v>
      </c>
      <c r="G567" s="712"/>
      <c r="H567" s="708"/>
    </row>
    <row r="568" spans="1:8" ht="15.75">
      <c r="A568" s="599">
        <v>1</v>
      </c>
      <c r="B568" s="599">
        <v>2</v>
      </c>
      <c r="C568" s="604">
        <v>3</v>
      </c>
      <c r="D568" s="604">
        <v>4</v>
      </c>
      <c r="E568" s="605"/>
      <c r="F568" s="606"/>
      <c r="G568" s="600">
        <v>5</v>
      </c>
      <c r="H568" s="599">
        <v>6</v>
      </c>
    </row>
    <row r="569" spans="1:8" ht="12.75" customHeight="1">
      <c r="A569" s="607">
        <v>1</v>
      </c>
      <c r="B569" s="709" t="s">
        <v>624</v>
      </c>
      <c r="C569" s="709"/>
      <c r="D569" s="709"/>
      <c r="E569" s="709"/>
      <c r="F569" s="709"/>
      <c r="G569" s="709"/>
      <c r="H569" s="709"/>
    </row>
    <row r="570" spans="1:8" ht="15.75">
      <c r="A570" s="608" t="s">
        <v>74</v>
      </c>
      <c r="B570" s="609" t="s">
        <v>625</v>
      </c>
      <c r="C570" s="610" t="s">
        <v>379</v>
      </c>
      <c r="D570" s="610" t="s">
        <v>379</v>
      </c>
      <c r="E570" s="610" t="s">
        <v>379</v>
      </c>
      <c r="F570" s="610" t="s">
        <v>379</v>
      </c>
      <c r="G570" s="610" t="s">
        <v>379</v>
      </c>
      <c r="H570" s="611" t="s">
        <v>626</v>
      </c>
    </row>
    <row r="571" spans="1:8" ht="15.75">
      <c r="A571" s="608" t="s">
        <v>313</v>
      </c>
      <c r="B571" s="609" t="s">
        <v>627</v>
      </c>
      <c r="C571" s="610" t="s">
        <v>379</v>
      </c>
      <c r="D571" s="610" t="s">
        <v>379</v>
      </c>
      <c r="E571" s="610" t="s">
        <v>379</v>
      </c>
      <c r="F571" s="610" t="s">
        <v>379</v>
      </c>
      <c r="G571" s="610" t="s">
        <v>379</v>
      </c>
      <c r="H571" s="611" t="s">
        <v>626</v>
      </c>
    </row>
    <row r="572" spans="1:8" ht="31.5">
      <c r="A572" s="608" t="s">
        <v>315</v>
      </c>
      <c r="B572" s="612" t="s">
        <v>628</v>
      </c>
      <c r="C572" s="610" t="s">
        <v>379</v>
      </c>
      <c r="D572" s="610" t="s">
        <v>379</v>
      </c>
      <c r="E572" s="610" t="s">
        <v>379</v>
      </c>
      <c r="F572" s="610" t="s">
        <v>379</v>
      </c>
      <c r="G572" s="610" t="s">
        <v>379</v>
      </c>
      <c r="H572" s="611" t="s">
        <v>626</v>
      </c>
    </row>
    <row r="573" spans="1:8" ht="47.25">
      <c r="A573" s="608" t="s">
        <v>317</v>
      </c>
      <c r="B573" s="612" t="s">
        <v>629</v>
      </c>
      <c r="C573" s="610" t="s">
        <v>379</v>
      </c>
      <c r="D573" s="610" t="s">
        <v>379</v>
      </c>
      <c r="E573" s="610" t="s">
        <v>379</v>
      </c>
      <c r="F573" s="610" t="s">
        <v>379</v>
      </c>
      <c r="G573" s="610" t="s">
        <v>379</v>
      </c>
      <c r="H573" s="611" t="s">
        <v>626</v>
      </c>
    </row>
    <row r="574" spans="1:8" ht="15.75">
      <c r="A574" s="608" t="s">
        <v>630</v>
      </c>
      <c r="B574" s="613" t="s">
        <v>631</v>
      </c>
      <c r="C574" s="610" t="s">
        <v>379</v>
      </c>
      <c r="D574" s="610" t="s">
        <v>379</v>
      </c>
      <c r="E574" s="610" t="s">
        <v>379</v>
      </c>
      <c r="F574" s="610" t="s">
        <v>379</v>
      </c>
      <c r="G574" s="610" t="s">
        <v>379</v>
      </c>
      <c r="H574" s="611" t="s">
        <v>626</v>
      </c>
    </row>
    <row r="575" spans="1:8" ht="15.75">
      <c r="A575" s="608" t="s">
        <v>632</v>
      </c>
      <c r="B575" s="613" t="s">
        <v>633</v>
      </c>
      <c r="C575" s="610" t="s">
        <v>379</v>
      </c>
      <c r="D575" s="610" t="s">
        <v>379</v>
      </c>
      <c r="E575" s="610" t="s">
        <v>379</v>
      </c>
      <c r="F575" s="610" t="s">
        <v>379</v>
      </c>
      <c r="G575" s="610" t="s">
        <v>379</v>
      </c>
      <c r="H575" s="611" t="s">
        <v>626</v>
      </c>
    </row>
    <row r="576" spans="1:8" ht="12.75" customHeight="1">
      <c r="A576" s="608">
        <v>2</v>
      </c>
      <c r="B576" s="706" t="s">
        <v>634</v>
      </c>
      <c r="C576" s="706"/>
      <c r="D576" s="706"/>
      <c r="E576" s="706"/>
      <c r="F576" s="706"/>
      <c r="G576" s="706"/>
      <c r="H576" s="706"/>
    </row>
    <row r="577" spans="1:8" ht="31.5">
      <c r="A577" s="608" t="s">
        <v>321</v>
      </c>
      <c r="B577" s="612" t="s">
        <v>635</v>
      </c>
      <c r="C577" s="610" t="s">
        <v>676</v>
      </c>
      <c r="D577" s="610" t="s">
        <v>677</v>
      </c>
      <c r="E577" s="610" t="s">
        <v>379</v>
      </c>
      <c r="F577" s="610" t="s">
        <v>379</v>
      </c>
      <c r="G577" s="614">
        <v>0</v>
      </c>
      <c r="H577" s="611"/>
    </row>
    <row r="578" spans="1:8" ht="47.25">
      <c r="A578" s="608" t="s">
        <v>325</v>
      </c>
      <c r="B578" s="612" t="s">
        <v>638</v>
      </c>
      <c r="C578" s="610" t="s">
        <v>379</v>
      </c>
      <c r="D578" s="610" t="s">
        <v>379</v>
      </c>
      <c r="E578" s="610" t="s">
        <v>379</v>
      </c>
      <c r="F578" s="610" t="s">
        <v>379</v>
      </c>
      <c r="G578" s="610" t="s">
        <v>379</v>
      </c>
      <c r="H578" s="611" t="s">
        <v>626</v>
      </c>
    </row>
    <row r="579" spans="1:8" ht="31.5">
      <c r="A579" s="608" t="s">
        <v>639</v>
      </c>
      <c r="B579" s="612" t="s">
        <v>640</v>
      </c>
      <c r="C579" s="610" t="s">
        <v>379</v>
      </c>
      <c r="D579" s="610" t="s">
        <v>379</v>
      </c>
      <c r="E579" s="610" t="s">
        <v>379</v>
      </c>
      <c r="F579" s="610" t="s">
        <v>379</v>
      </c>
      <c r="G579" s="610" t="s">
        <v>379</v>
      </c>
      <c r="H579" s="611" t="s">
        <v>626</v>
      </c>
    </row>
    <row r="580" spans="1:8" ht="12.75" customHeight="1">
      <c r="A580" s="608">
        <v>3</v>
      </c>
      <c r="B580" s="706" t="s">
        <v>674</v>
      </c>
      <c r="C580" s="706"/>
      <c r="D580" s="706"/>
      <c r="E580" s="706"/>
      <c r="F580" s="706"/>
      <c r="G580" s="706"/>
      <c r="H580" s="706"/>
    </row>
    <row r="581" spans="1:8" ht="31.5">
      <c r="A581" s="608" t="s">
        <v>378</v>
      </c>
      <c r="B581" s="613" t="s">
        <v>642</v>
      </c>
      <c r="C581" s="610" t="s">
        <v>379</v>
      </c>
      <c r="D581" s="610" t="s">
        <v>379</v>
      </c>
      <c r="E581" s="610" t="s">
        <v>379</v>
      </c>
      <c r="F581" s="610" t="s">
        <v>379</v>
      </c>
      <c r="G581" s="610" t="s">
        <v>379</v>
      </c>
      <c r="H581" s="611" t="s">
        <v>626</v>
      </c>
    </row>
    <row r="582" spans="1:8" ht="15.75">
      <c r="A582" s="608" t="s">
        <v>643</v>
      </c>
      <c r="B582" s="613" t="s">
        <v>644</v>
      </c>
      <c r="C582" s="610" t="s">
        <v>676</v>
      </c>
      <c r="D582" s="610" t="s">
        <v>698</v>
      </c>
      <c r="E582" s="610" t="s">
        <v>379</v>
      </c>
      <c r="F582" s="610" t="s">
        <v>379</v>
      </c>
      <c r="G582" s="614">
        <v>0</v>
      </c>
      <c r="H582" s="611"/>
    </row>
    <row r="583" spans="1:8" ht="15.75">
      <c r="A583" s="608" t="s">
        <v>380</v>
      </c>
      <c r="B583" s="613" t="s">
        <v>646</v>
      </c>
      <c r="C583" s="610" t="s">
        <v>699</v>
      </c>
      <c r="D583" s="610" t="s">
        <v>680</v>
      </c>
      <c r="E583" s="610" t="s">
        <v>379</v>
      </c>
      <c r="F583" s="610" t="s">
        <v>379</v>
      </c>
      <c r="G583" s="614">
        <v>0</v>
      </c>
      <c r="H583" s="611"/>
    </row>
    <row r="584" spans="1:8" ht="15.75">
      <c r="A584" s="608" t="s">
        <v>649</v>
      </c>
      <c r="B584" s="613" t="s">
        <v>650</v>
      </c>
      <c r="C584" s="610" t="s">
        <v>681</v>
      </c>
      <c r="D584" s="610" t="s">
        <v>700</v>
      </c>
      <c r="E584" s="610" t="s">
        <v>379</v>
      </c>
      <c r="F584" s="610" t="s">
        <v>379</v>
      </c>
      <c r="G584" s="614">
        <v>0</v>
      </c>
      <c r="H584" s="611"/>
    </row>
    <row r="585" spans="1:8" ht="15.75">
      <c r="A585" s="608" t="s">
        <v>653</v>
      </c>
      <c r="B585" s="613" t="s">
        <v>654</v>
      </c>
      <c r="C585" s="610" t="s">
        <v>701</v>
      </c>
      <c r="D585" s="610" t="s">
        <v>677</v>
      </c>
      <c r="E585" s="610" t="s">
        <v>379</v>
      </c>
      <c r="F585" s="610" t="s">
        <v>379</v>
      </c>
      <c r="G585" s="614">
        <v>0</v>
      </c>
      <c r="H585" s="611"/>
    </row>
    <row r="586" spans="1:8" ht="12.75" customHeight="1">
      <c r="A586" s="608">
        <v>4</v>
      </c>
      <c r="B586" s="706" t="s">
        <v>656</v>
      </c>
      <c r="C586" s="706"/>
      <c r="D586" s="706"/>
      <c r="E586" s="706"/>
      <c r="F586" s="706"/>
      <c r="G586" s="706"/>
      <c r="H586" s="706"/>
    </row>
    <row r="587" spans="1:8" ht="31.5">
      <c r="A587" s="608" t="s">
        <v>657</v>
      </c>
      <c r="B587" s="612" t="s">
        <v>658</v>
      </c>
      <c r="C587" s="610" t="s">
        <v>379</v>
      </c>
      <c r="D587" s="610" t="s">
        <v>379</v>
      </c>
      <c r="E587" s="610" t="s">
        <v>379</v>
      </c>
      <c r="F587" s="610" t="s">
        <v>379</v>
      </c>
      <c r="G587" s="610" t="s">
        <v>379</v>
      </c>
      <c r="H587" s="611" t="s">
        <v>626</v>
      </c>
    </row>
    <row r="588" spans="1:8" ht="47.25">
      <c r="A588" s="608" t="s">
        <v>659</v>
      </c>
      <c r="B588" s="612" t="s">
        <v>660</v>
      </c>
      <c r="C588" s="610" t="s">
        <v>379</v>
      </c>
      <c r="D588" s="610" t="s">
        <v>379</v>
      </c>
      <c r="E588" s="610" t="s">
        <v>379</v>
      </c>
      <c r="F588" s="610" t="s">
        <v>379</v>
      </c>
      <c r="G588" s="610" t="s">
        <v>379</v>
      </c>
      <c r="H588" s="611" t="s">
        <v>626</v>
      </c>
    </row>
    <row r="589" spans="1:8" ht="31.5">
      <c r="A589" s="608" t="s">
        <v>661</v>
      </c>
      <c r="B589" s="613" t="s">
        <v>662</v>
      </c>
      <c r="C589" s="610" t="s">
        <v>379</v>
      </c>
      <c r="D589" s="610" t="s">
        <v>379</v>
      </c>
      <c r="E589" s="610" t="s">
        <v>379</v>
      </c>
      <c r="F589" s="610" t="s">
        <v>379</v>
      </c>
      <c r="G589" s="610" t="s">
        <v>379</v>
      </c>
      <c r="H589" s="611" t="s">
        <v>626</v>
      </c>
    </row>
    <row r="590" spans="1:8" ht="31.5">
      <c r="A590" s="615" t="s">
        <v>663</v>
      </c>
      <c r="B590" s="616" t="s">
        <v>664</v>
      </c>
      <c r="C590" s="617" t="s">
        <v>379</v>
      </c>
      <c r="D590" s="617" t="s">
        <v>379</v>
      </c>
      <c r="E590" s="617" t="s">
        <v>379</v>
      </c>
      <c r="F590" s="617" t="s">
        <v>379</v>
      </c>
      <c r="G590" s="617" t="s">
        <v>379</v>
      </c>
      <c r="H590" s="618" t="s">
        <v>626</v>
      </c>
    </row>
    <row r="591" spans="1:8" ht="15.75">
      <c r="A591" s="619"/>
      <c r="B591" s="620"/>
      <c r="C591" s="621"/>
      <c r="D591" s="621"/>
      <c r="E591" s="621"/>
      <c r="F591" s="621"/>
      <c r="G591" s="621"/>
      <c r="H591" s="148"/>
    </row>
    <row r="592" spans="1:8" ht="12.75" customHeight="1">
      <c r="A592" s="707" t="s">
        <v>665</v>
      </c>
      <c r="B592" s="707"/>
      <c r="C592" s="707"/>
      <c r="D592" s="707"/>
      <c r="E592" s="707"/>
      <c r="F592" s="707"/>
      <c r="G592" s="707"/>
      <c r="H592" s="707"/>
    </row>
    <row r="595" ht="15.75">
      <c r="H595" s="11" t="s">
        <v>609</v>
      </c>
    </row>
    <row r="596" ht="15.75">
      <c r="H596" s="11" t="s">
        <v>610</v>
      </c>
    </row>
    <row r="597" ht="15.75">
      <c r="H597" s="11" t="s">
        <v>611</v>
      </c>
    </row>
    <row r="598" ht="15.75">
      <c r="H598" s="11"/>
    </row>
    <row r="599" spans="1:8" ht="12.75" customHeight="1">
      <c r="A599" s="713" t="s">
        <v>612</v>
      </c>
      <c r="B599" s="713"/>
      <c r="C599" s="713"/>
      <c r="D599" s="713"/>
      <c r="E599" s="713"/>
      <c r="F599" s="713"/>
      <c r="G599" s="713"/>
      <c r="H599" s="713"/>
    </row>
    <row r="600" spans="1:8" ht="12.75" customHeight="1">
      <c r="A600" s="713" t="s">
        <v>613</v>
      </c>
      <c r="B600" s="713"/>
      <c r="C600" s="713"/>
      <c r="D600" s="713"/>
      <c r="E600" s="713"/>
      <c r="F600" s="713"/>
      <c r="G600" s="713"/>
      <c r="H600" s="713"/>
    </row>
    <row r="601" ht="15.75">
      <c r="H601" s="11" t="s">
        <v>43</v>
      </c>
    </row>
    <row r="602" ht="15.75">
      <c r="H602" s="11" t="s">
        <v>44</v>
      </c>
    </row>
    <row r="603" ht="15.75">
      <c r="H603" s="11" t="s">
        <v>45</v>
      </c>
    </row>
    <row r="604" ht="15.75">
      <c r="H604" s="594" t="s">
        <v>614</v>
      </c>
    </row>
    <row r="605" ht="15.75">
      <c r="H605" s="11" t="s">
        <v>615</v>
      </c>
    </row>
    <row r="606" ht="15.75">
      <c r="H606" s="11" t="s">
        <v>47</v>
      </c>
    </row>
    <row r="607" ht="15.75">
      <c r="A607" s="595"/>
    </row>
    <row r="608" ht="15.75">
      <c r="A608" s="3" t="s">
        <v>704</v>
      </c>
    </row>
    <row r="609" spans="1:8" ht="12.75" customHeight="1">
      <c r="A609" s="717" t="s">
        <v>0</v>
      </c>
      <c r="B609" s="714"/>
      <c r="C609" s="714"/>
      <c r="D609" s="714"/>
      <c r="E609" s="714"/>
      <c r="F609" s="714"/>
      <c r="G609" s="714"/>
      <c r="H609" s="714"/>
    </row>
    <row r="610" spans="1:8" ht="16.5" thickBot="1">
      <c r="A610" s="597"/>
      <c r="B610" s="597"/>
      <c r="C610" s="598"/>
      <c r="D610" s="598"/>
      <c r="E610" s="598"/>
      <c r="F610" s="598"/>
      <c r="G610" s="598"/>
      <c r="H610" s="598"/>
    </row>
    <row r="611" spans="1:8" ht="12.75" customHeight="1">
      <c r="A611" s="708" t="s">
        <v>617</v>
      </c>
      <c r="B611" s="710" t="s">
        <v>618</v>
      </c>
      <c r="C611" s="711" t="s">
        <v>619</v>
      </c>
      <c r="D611" s="711"/>
      <c r="E611" s="711"/>
      <c r="F611" s="711"/>
      <c r="G611" s="712" t="s">
        <v>620</v>
      </c>
      <c r="H611" s="708" t="s">
        <v>621</v>
      </c>
    </row>
    <row r="612" spans="1:8" ht="15.75">
      <c r="A612" s="708"/>
      <c r="B612" s="710"/>
      <c r="C612" s="711"/>
      <c r="D612" s="711"/>
      <c r="E612" s="711"/>
      <c r="F612" s="711"/>
      <c r="G612" s="712"/>
      <c r="H612" s="708"/>
    </row>
    <row r="613" spans="1:8" ht="31.5">
      <c r="A613" s="708"/>
      <c r="B613" s="710"/>
      <c r="C613" s="601" t="s">
        <v>622</v>
      </c>
      <c r="D613" s="601" t="s">
        <v>623</v>
      </c>
      <c r="E613" s="602" t="s">
        <v>622</v>
      </c>
      <c r="F613" s="603" t="s">
        <v>623</v>
      </c>
      <c r="G613" s="712"/>
      <c r="H613" s="708"/>
    </row>
    <row r="614" spans="1:8" ht="15.75">
      <c r="A614" s="599">
        <v>1</v>
      </c>
      <c r="B614" s="599">
        <v>2</v>
      </c>
      <c r="C614" s="604">
        <v>3</v>
      </c>
      <c r="D614" s="604">
        <v>4</v>
      </c>
      <c r="E614" s="605"/>
      <c r="F614" s="606"/>
      <c r="G614" s="600">
        <v>5</v>
      </c>
      <c r="H614" s="599">
        <v>6</v>
      </c>
    </row>
    <row r="615" spans="1:8" ht="12.75" customHeight="1">
      <c r="A615" s="607">
        <v>1</v>
      </c>
      <c r="B615" s="709" t="s">
        <v>624</v>
      </c>
      <c r="C615" s="709"/>
      <c r="D615" s="709"/>
      <c r="E615" s="709"/>
      <c r="F615" s="709"/>
      <c r="G615" s="709"/>
      <c r="H615" s="709"/>
    </row>
    <row r="616" spans="1:8" ht="15.75">
      <c r="A616" s="608" t="s">
        <v>74</v>
      </c>
      <c r="B616" s="609" t="s">
        <v>625</v>
      </c>
      <c r="C616" s="610" t="s">
        <v>379</v>
      </c>
      <c r="D616" s="610" t="s">
        <v>379</v>
      </c>
      <c r="E616" s="610" t="s">
        <v>379</v>
      </c>
      <c r="F616" s="610" t="s">
        <v>379</v>
      </c>
      <c r="G616" s="610" t="s">
        <v>379</v>
      </c>
      <c r="H616" s="611" t="s">
        <v>626</v>
      </c>
    </row>
    <row r="617" spans="1:8" ht="15.75">
      <c r="A617" s="608" t="s">
        <v>313</v>
      </c>
      <c r="B617" s="609" t="s">
        <v>627</v>
      </c>
      <c r="C617" s="610" t="s">
        <v>379</v>
      </c>
      <c r="D617" s="610" t="s">
        <v>379</v>
      </c>
      <c r="E617" s="610" t="s">
        <v>379</v>
      </c>
      <c r="F617" s="610" t="s">
        <v>379</v>
      </c>
      <c r="G617" s="610" t="s">
        <v>379</v>
      </c>
      <c r="H617" s="611" t="s">
        <v>626</v>
      </c>
    </row>
    <row r="618" spans="1:8" ht="31.5">
      <c r="A618" s="608" t="s">
        <v>315</v>
      </c>
      <c r="B618" s="612" t="s">
        <v>628</v>
      </c>
      <c r="C618" s="610" t="s">
        <v>379</v>
      </c>
      <c r="D618" s="610" t="s">
        <v>379</v>
      </c>
      <c r="E618" s="610" t="s">
        <v>379</v>
      </c>
      <c r="F618" s="610" t="s">
        <v>379</v>
      </c>
      <c r="G618" s="610" t="s">
        <v>379</v>
      </c>
      <c r="H618" s="611" t="s">
        <v>626</v>
      </c>
    </row>
    <row r="619" spans="1:8" ht="47.25">
      <c r="A619" s="608" t="s">
        <v>317</v>
      </c>
      <c r="B619" s="612" t="s">
        <v>629</v>
      </c>
      <c r="C619" s="610" t="s">
        <v>379</v>
      </c>
      <c r="D619" s="610" t="s">
        <v>379</v>
      </c>
      <c r="E619" s="610" t="s">
        <v>379</v>
      </c>
      <c r="F619" s="610" t="s">
        <v>379</v>
      </c>
      <c r="G619" s="610" t="s">
        <v>379</v>
      </c>
      <c r="H619" s="611" t="s">
        <v>626</v>
      </c>
    </row>
    <row r="620" spans="1:8" ht="15.75">
      <c r="A620" s="608" t="s">
        <v>630</v>
      </c>
      <c r="B620" s="613" t="s">
        <v>631</v>
      </c>
      <c r="C620" s="610" t="s">
        <v>379</v>
      </c>
      <c r="D620" s="610" t="s">
        <v>379</v>
      </c>
      <c r="E620" s="610" t="s">
        <v>379</v>
      </c>
      <c r="F620" s="610" t="s">
        <v>379</v>
      </c>
      <c r="G620" s="610" t="s">
        <v>379</v>
      </c>
      <c r="H620" s="611" t="s">
        <v>626</v>
      </c>
    </row>
    <row r="621" spans="1:8" ht="15.75">
      <c r="A621" s="608" t="s">
        <v>632</v>
      </c>
      <c r="B621" s="613" t="s">
        <v>633</v>
      </c>
      <c r="C621" s="610" t="s">
        <v>379</v>
      </c>
      <c r="D621" s="610" t="s">
        <v>379</v>
      </c>
      <c r="E621" s="610" t="s">
        <v>379</v>
      </c>
      <c r="F621" s="610" t="s">
        <v>379</v>
      </c>
      <c r="G621" s="610" t="s">
        <v>379</v>
      </c>
      <c r="H621" s="611" t="s">
        <v>626</v>
      </c>
    </row>
    <row r="622" spans="1:8" ht="12.75" customHeight="1">
      <c r="A622" s="608">
        <v>2</v>
      </c>
      <c r="B622" s="706" t="s">
        <v>634</v>
      </c>
      <c r="C622" s="706"/>
      <c r="D622" s="706"/>
      <c r="E622" s="706"/>
      <c r="F622" s="706"/>
      <c r="G622" s="706"/>
      <c r="H622" s="706"/>
    </row>
    <row r="623" spans="1:8" ht="31.5">
      <c r="A623" s="608" t="s">
        <v>321</v>
      </c>
      <c r="B623" s="612" t="s">
        <v>635</v>
      </c>
      <c r="C623" s="610" t="s">
        <v>676</v>
      </c>
      <c r="D623" s="610" t="s">
        <v>677</v>
      </c>
      <c r="E623" s="610" t="s">
        <v>379</v>
      </c>
      <c r="F623" s="610" t="s">
        <v>379</v>
      </c>
      <c r="G623" s="614">
        <v>0</v>
      </c>
      <c r="H623" s="611"/>
    </row>
    <row r="624" spans="1:8" ht="47.25">
      <c r="A624" s="608" t="s">
        <v>325</v>
      </c>
      <c r="B624" s="612" t="s">
        <v>638</v>
      </c>
      <c r="C624" s="610" t="s">
        <v>379</v>
      </c>
      <c r="D624" s="610" t="s">
        <v>379</v>
      </c>
      <c r="E624" s="610" t="s">
        <v>379</v>
      </c>
      <c r="F624" s="610" t="s">
        <v>379</v>
      </c>
      <c r="G624" s="610" t="s">
        <v>379</v>
      </c>
      <c r="H624" s="611" t="s">
        <v>626</v>
      </c>
    </row>
    <row r="625" spans="1:8" ht="31.5">
      <c r="A625" s="608" t="s">
        <v>639</v>
      </c>
      <c r="B625" s="612" t="s">
        <v>640</v>
      </c>
      <c r="C625" s="610" t="s">
        <v>379</v>
      </c>
      <c r="D625" s="610" t="s">
        <v>379</v>
      </c>
      <c r="E625" s="610" t="s">
        <v>379</v>
      </c>
      <c r="F625" s="610" t="s">
        <v>379</v>
      </c>
      <c r="G625" s="610" t="s">
        <v>379</v>
      </c>
      <c r="H625" s="611" t="s">
        <v>626</v>
      </c>
    </row>
    <row r="626" spans="1:8" ht="12.75" customHeight="1">
      <c r="A626" s="608">
        <v>3</v>
      </c>
      <c r="B626" s="706" t="s">
        <v>674</v>
      </c>
      <c r="C626" s="706"/>
      <c r="D626" s="706"/>
      <c r="E626" s="706"/>
      <c r="F626" s="706"/>
      <c r="G626" s="706"/>
      <c r="H626" s="706"/>
    </row>
    <row r="627" spans="1:8" ht="31.5">
      <c r="A627" s="608" t="s">
        <v>378</v>
      </c>
      <c r="B627" s="613" t="s">
        <v>642</v>
      </c>
      <c r="C627" s="610" t="s">
        <v>379</v>
      </c>
      <c r="D627" s="610" t="s">
        <v>379</v>
      </c>
      <c r="E627" s="610" t="s">
        <v>379</v>
      </c>
      <c r="F627" s="610" t="s">
        <v>379</v>
      </c>
      <c r="G627" s="610" t="s">
        <v>379</v>
      </c>
      <c r="H627" s="611" t="s">
        <v>626</v>
      </c>
    </row>
    <row r="628" spans="1:8" ht="15.75">
      <c r="A628" s="608" t="s">
        <v>643</v>
      </c>
      <c r="B628" s="613" t="s">
        <v>644</v>
      </c>
      <c r="C628" s="610" t="s">
        <v>676</v>
      </c>
      <c r="D628" s="610" t="s">
        <v>698</v>
      </c>
      <c r="E628" s="610" t="s">
        <v>379</v>
      </c>
      <c r="F628" s="610" t="s">
        <v>379</v>
      </c>
      <c r="G628" s="614">
        <v>0</v>
      </c>
      <c r="H628" s="611"/>
    </row>
    <row r="629" spans="1:8" ht="15.75">
      <c r="A629" s="608" t="s">
        <v>380</v>
      </c>
      <c r="B629" s="613" t="s">
        <v>646</v>
      </c>
      <c r="C629" s="610" t="s">
        <v>699</v>
      </c>
      <c r="D629" s="610" t="s">
        <v>680</v>
      </c>
      <c r="E629" s="610" t="s">
        <v>379</v>
      </c>
      <c r="F629" s="610" t="s">
        <v>379</v>
      </c>
      <c r="G629" s="614">
        <v>0</v>
      </c>
      <c r="H629" s="611"/>
    </row>
    <row r="630" spans="1:8" ht="15.75">
      <c r="A630" s="608" t="s">
        <v>649</v>
      </c>
      <c r="B630" s="613" t="s">
        <v>650</v>
      </c>
      <c r="C630" s="610" t="s">
        <v>681</v>
      </c>
      <c r="D630" s="610" t="s">
        <v>700</v>
      </c>
      <c r="E630" s="610" t="s">
        <v>379</v>
      </c>
      <c r="F630" s="610" t="s">
        <v>379</v>
      </c>
      <c r="G630" s="614">
        <v>0</v>
      </c>
      <c r="H630" s="611"/>
    </row>
    <row r="631" spans="1:8" ht="15.75">
      <c r="A631" s="608" t="s">
        <v>653</v>
      </c>
      <c r="B631" s="613" t="s">
        <v>654</v>
      </c>
      <c r="C631" s="610" t="s">
        <v>701</v>
      </c>
      <c r="D631" s="610" t="s">
        <v>677</v>
      </c>
      <c r="E631" s="610" t="s">
        <v>379</v>
      </c>
      <c r="F631" s="610" t="s">
        <v>379</v>
      </c>
      <c r="G631" s="614">
        <v>0</v>
      </c>
      <c r="H631" s="611"/>
    </row>
    <row r="632" spans="1:8" ht="12.75" customHeight="1">
      <c r="A632" s="608">
        <v>4</v>
      </c>
      <c r="B632" s="706" t="s">
        <v>656</v>
      </c>
      <c r="C632" s="706"/>
      <c r="D632" s="706"/>
      <c r="E632" s="706"/>
      <c r="F632" s="706"/>
      <c r="G632" s="706"/>
      <c r="H632" s="706"/>
    </row>
    <row r="633" spans="1:8" ht="31.5">
      <c r="A633" s="608" t="s">
        <v>657</v>
      </c>
      <c r="B633" s="612" t="s">
        <v>658</v>
      </c>
      <c r="C633" s="610" t="s">
        <v>379</v>
      </c>
      <c r="D633" s="610" t="s">
        <v>379</v>
      </c>
      <c r="E633" s="610" t="s">
        <v>379</v>
      </c>
      <c r="F633" s="610" t="s">
        <v>379</v>
      </c>
      <c r="G633" s="610" t="s">
        <v>379</v>
      </c>
      <c r="H633" s="611" t="s">
        <v>626</v>
      </c>
    </row>
    <row r="634" spans="1:8" ht="47.25">
      <c r="A634" s="608" t="s">
        <v>659</v>
      </c>
      <c r="B634" s="612" t="s">
        <v>660</v>
      </c>
      <c r="C634" s="610" t="s">
        <v>379</v>
      </c>
      <c r="D634" s="610" t="s">
        <v>379</v>
      </c>
      <c r="E634" s="610" t="s">
        <v>379</v>
      </c>
      <c r="F634" s="610" t="s">
        <v>379</v>
      </c>
      <c r="G634" s="610" t="s">
        <v>379</v>
      </c>
      <c r="H634" s="611" t="s">
        <v>626</v>
      </c>
    </row>
    <row r="635" spans="1:8" ht="31.5">
      <c r="A635" s="608" t="s">
        <v>661</v>
      </c>
      <c r="B635" s="613" t="s">
        <v>662</v>
      </c>
      <c r="C635" s="610" t="s">
        <v>379</v>
      </c>
      <c r="D635" s="610" t="s">
        <v>379</v>
      </c>
      <c r="E635" s="610" t="s">
        <v>379</v>
      </c>
      <c r="F635" s="610" t="s">
        <v>379</v>
      </c>
      <c r="G635" s="610" t="s">
        <v>379</v>
      </c>
      <c r="H635" s="611" t="s">
        <v>626</v>
      </c>
    </row>
    <row r="636" spans="1:8" ht="31.5">
      <c r="A636" s="615" t="s">
        <v>663</v>
      </c>
      <c r="B636" s="616" t="s">
        <v>664</v>
      </c>
      <c r="C636" s="617" t="s">
        <v>379</v>
      </c>
      <c r="D636" s="617" t="s">
        <v>379</v>
      </c>
      <c r="E636" s="617" t="s">
        <v>379</v>
      </c>
      <c r="F636" s="617" t="s">
        <v>379</v>
      </c>
      <c r="G636" s="617" t="s">
        <v>379</v>
      </c>
      <c r="H636" s="618" t="s">
        <v>626</v>
      </c>
    </row>
    <row r="637" spans="1:8" ht="15.75">
      <c r="A637" s="619"/>
      <c r="B637" s="620"/>
      <c r="C637" s="621"/>
      <c r="D637" s="621"/>
      <c r="E637" s="621"/>
      <c r="F637" s="621"/>
      <c r="G637" s="621"/>
      <c r="H637" s="148"/>
    </row>
    <row r="638" spans="1:8" ht="12.75" customHeight="1">
      <c r="A638" s="707" t="s">
        <v>665</v>
      </c>
      <c r="B638" s="707"/>
      <c r="C638" s="707"/>
      <c r="D638" s="707"/>
      <c r="E638" s="707"/>
      <c r="F638" s="707"/>
      <c r="G638" s="707"/>
      <c r="H638" s="707"/>
    </row>
    <row r="641" ht="15.75">
      <c r="H641" s="11" t="s">
        <v>609</v>
      </c>
    </row>
    <row r="642" ht="15.75">
      <c r="H642" s="11" t="s">
        <v>610</v>
      </c>
    </row>
    <row r="643" ht="15.75">
      <c r="H643" s="11" t="s">
        <v>611</v>
      </c>
    </row>
    <row r="644" ht="15.75">
      <c r="H644" s="11"/>
    </row>
    <row r="645" spans="1:8" ht="12.75" customHeight="1">
      <c r="A645" s="713" t="s">
        <v>612</v>
      </c>
      <c r="B645" s="713"/>
      <c r="C645" s="713"/>
      <c r="D645" s="713"/>
      <c r="E645" s="713"/>
      <c r="F645" s="713"/>
      <c r="G645" s="713"/>
      <c r="H645" s="713"/>
    </row>
    <row r="646" spans="1:8" ht="12.75" customHeight="1">
      <c r="A646" s="713" t="s">
        <v>613</v>
      </c>
      <c r="B646" s="713"/>
      <c r="C646" s="713"/>
      <c r="D646" s="713"/>
      <c r="E646" s="713"/>
      <c r="F646" s="713"/>
      <c r="G646" s="713"/>
      <c r="H646" s="713"/>
    </row>
    <row r="647" ht="15.75">
      <c r="H647" s="11" t="s">
        <v>43</v>
      </c>
    </row>
    <row r="648" ht="15.75">
      <c r="H648" s="11" t="s">
        <v>44</v>
      </c>
    </row>
    <row r="649" ht="15.75">
      <c r="H649" s="11" t="s">
        <v>45</v>
      </c>
    </row>
    <row r="650" ht="15.75">
      <c r="H650" s="594" t="s">
        <v>614</v>
      </c>
    </row>
    <row r="651" ht="15.75">
      <c r="H651" s="11" t="s">
        <v>615</v>
      </c>
    </row>
    <row r="652" ht="15.75">
      <c r="H652" s="11" t="s">
        <v>47</v>
      </c>
    </row>
    <row r="653" ht="15.75">
      <c r="A653" s="595"/>
    </row>
    <row r="654" ht="15.75">
      <c r="A654" s="3" t="s">
        <v>705</v>
      </c>
    </row>
    <row r="655" spans="1:8" ht="12.75" customHeight="1">
      <c r="A655" s="717" t="s">
        <v>0</v>
      </c>
      <c r="B655" s="714"/>
      <c r="C655" s="714"/>
      <c r="D655" s="714"/>
      <c r="E655" s="714"/>
      <c r="F655" s="714"/>
      <c r="G655" s="714"/>
      <c r="H655" s="714"/>
    </row>
    <row r="656" spans="1:8" ht="16.5" thickBot="1">
      <c r="A656" s="597"/>
      <c r="B656" s="597"/>
      <c r="C656" s="598"/>
      <c r="D656" s="598"/>
      <c r="E656" s="598"/>
      <c r="F656" s="598"/>
      <c r="G656" s="598"/>
      <c r="H656" s="598"/>
    </row>
    <row r="657" spans="1:8" ht="12.75" customHeight="1">
      <c r="A657" s="708" t="s">
        <v>617</v>
      </c>
      <c r="B657" s="710" t="s">
        <v>618</v>
      </c>
      <c r="C657" s="711" t="s">
        <v>619</v>
      </c>
      <c r="D657" s="711"/>
      <c r="E657" s="711"/>
      <c r="F657" s="711"/>
      <c r="G657" s="712" t="s">
        <v>620</v>
      </c>
      <c r="H657" s="708" t="s">
        <v>621</v>
      </c>
    </row>
    <row r="658" spans="1:8" ht="15.75">
      <c r="A658" s="708"/>
      <c r="B658" s="710"/>
      <c r="C658" s="711"/>
      <c r="D658" s="711"/>
      <c r="E658" s="711"/>
      <c r="F658" s="711"/>
      <c r="G658" s="712"/>
      <c r="H658" s="708"/>
    </row>
    <row r="659" spans="1:8" ht="31.5">
      <c r="A659" s="708"/>
      <c r="B659" s="710"/>
      <c r="C659" s="601" t="s">
        <v>622</v>
      </c>
      <c r="D659" s="601" t="s">
        <v>623</v>
      </c>
      <c r="E659" s="602" t="s">
        <v>622</v>
      </c>
      <c r="F659" s="603" t="s">
        <v>623</v>
      </c>
      <c r="G659" s="712"/>
      <c r="H659" s="708"/>
    </row>
    <row r="660" spans="1:8" ht="15.75">
      <c r="A660" s="599">
        <v>1</v>
      </c>
      <c r="B660" s="599">
        <v>2</v>
      </c>
      <c r="C660" s="604">
        <v>3</v>
      </c>
      <c r="D660" s="604">
        <v>4</v>
      </c>
      <c r="E660" s="605"/>
      <c r="F660" s="606"/>
      <c r="G660" s="600">
        <v>5</v>
      </c>
      <c r="H660" s="599">
        <v>6</v>
      </c>
    </row>
    <row r="661" spans="1:8" ht="12.75" customHeight="1">
      <c r="A661" s="607">
        <v>1</v>
      </c>
      <c r="B661" s="709" t="s">
        <v>624</v>
      </c>
      <c r="C661" s="709"/>
      <c r="D661" s="709"/>
      <c r="E661" s="709"/>
      <c r="F661" s="709"/>
      <c r="G661" s="709"/>
      <c r="H661" s="709"/>
    </row>
    <row r="662" spans="1:8" ht="15.75">
      <c r="A662" s="608" t="s">
        <v>74</v>
      </c>
      <c r="B662" s="609" t="s">
        <v>625</v>
      </c>
      <c r="C662" s="610" t="s">
        <v>379</v>
      </c>
      <c r="D662" s="610" t="s">
        <v>379</v>
      </c>
      <c r="E662" s="610" t="s">
        <v>379</v>
      </c>
      <c r="F662" s="610" t="s">
        <v>379</v>
      </c>
      <c r="G662" s="610" t="s">
        <v>379</v>
      </c>
      <c r="H662" s="611" t="s">
        <v>626</v>
      </c>
    </row>
    <row r="663" spans="1:8" ht="15.75">
      <c r="A663" s="608" t="s">
        <v>313</v>
      </c>
      <c r="B663" s="609" t="s">
        <v>627</v>
      </c>
      <c r="C663" s="610" t="s">
        <v>379</v>
      </c>
      <c r="D663" s="610" t="s">
        <v>379</v>
      </c>
      <c r="E663" s="610" t="s">
        <v>379</v>
      </c>
      <c r="F663" s="610" t="s">
        <v>379</v>
      </c>
      <c r="G663" s="610" t="s">
        <v>379</v>
      </c>
      <c r="H663" s="611" t="s">
        <v>626</v>
      </c>
    </row>
    <row r="664" spans="1:8" ht="31.5">
      <c r="A664" s="608" t="s">
        <v>315</v>
      </c>
      <c r="B664" s="612" t="s">
        <v>628</v>
      </c>
      <c r="C664" s="610" t="s">
        <v>379</v>
      </c>
      <c r="D664" s="610" t="s">
        <v>379</v>
      </c>
      <c r="E664" s="610" t="s">
        <v>379</v>
      </c>
      <c r="F664" s="610" t="s">
        <v>379</v>
      </c>
      <c r="G664" s="610" t="s">
        <v>379</v>
      </c>
      <c r="H664" s="611" t="s">
        <v>626</v>
      </c>
    </row>
    <row r="665" spans="1:8" ht="47.25">
      <c r="A665" s="608" t="s">
        <v>317</v>
      </c>
      <c r="B665" s="612" t="s">
        <v>629</v>
      </c>
      <c r="C665" s="610" t="s">
        <v>379</v>
      </c>
      <c r="D665" s="610" t="s">
        <v>379</v>
      </c>
      <c r="E665" s="610" t="s">
        <v>379</v>
      </c>
      <c r="F665" s="610" t="s">
        <v>379</v>
      </c>
      <c r="G665" s="610" t="s">
        <v>379</v>
      </c>
      <c r="H665" s="611" t="s">
        <v>626</v>
      </c>
    </row>
    <row r="666" spans="1:8" ht="15.75">
      <c r="A666" s="608" t="s">
        <v>630</v>
      </c>
      <c r="B666" s="613" t="s">
        <v>631</v>
      </c>
      <c r="C666" s="610" t="s">
        <v>379</v>
      </c>
      <c r="D666" s="610" t="s">
        <v>379</v>
      </c>
      <c r="E666" s="610" t="s">
        <v>379</v>
      </c>
      <c r="F666" s="610" t="s">
        <v>379</v>
      </c>
      <c r="G666" s="610" t="s">
        <v>379</v>
      </c>
      <c r="H666" s="611" t="s">
        <v>626</v>
      </c>
    </row>
    <row r="667" spans="1:8" ht="15.75">
      <c r="A667" s="608" t="s">
        <v>632</v>
      </c>
      <c r="B667" s="613" t="s">
        <v>633</v>
      </c>
      <c r="C667" s="610" t="s">
        <v>379</v>
      </c>
      <c r="D667" s="610" t="s">
        <v>379</v>
      </c>
      <c r="E667" s="610" t="s">
        <v>379</v>
      </c>
      <c r="F667" s="610" t="s">
        <v>379</v>
      </c>
      <c r="G667" s="610" t="s">
        <v>379</v>
      </c>
      <c r="H667" s="611" t="s">
        <v>626</v>
      </c>
    </row>
    <row r="668" spans="1:8" ht="12.75" customHeight="1">
      <c r="A668" s="608">
        <v>2</v>
      </c>
      <c r="B668" s="706" t="s">
        <v>634</v>
      </c>
      <c r="C668" s="706"/>
      <c r="D668" s="706"/>
      <c r="E668" s="706"/>
      <c r="F668" s="706"/>
      <c r="G668" s="706"/>
      <c r="H668" s="706"/>
    </row>
    <row r="669" spans="1:8" ht="31.5">
      <c r="A669" s="608" t="s">
        <v>321</v>
      </c>
      <c r="B669" s="612" t="s">
        <v>635</v>
      </c>
      <c r="C669" s="610" t="s">
        <v>685</v>
      </c>
      <c r="D669" s="610" t="s">
        <v>686</v>
      </c>
      <c r="E669" s="610" t="s">
        <v>379</v>
      </c>
      <c r="F669" s="610" t="s">
        <v>379</v>
      </c>
      <c r="G669" s="614">
        <v>0</v>
      </c>
      <c r="H669" s="611"/>
    </row>
    <row r="670" spans="1:8" ht="47.25">
      <c r="A670" s="608" t="s">
        <v>325</v>
      </c>
      <c r="B670" s="612" t="s">
        <v>638</v>
      </c>
      <c r="C670" s="610" t="s">
        <v>379</v>
      </c>
      <c r="D670" s="610" t="s">
        <v>379</v>
      </c>
      <c r="E670" s="610" t="s">
        <v>379</v>
      </c>
      <c r="F670" s="610" t="s">
        <v>379</v>
      </c>
      <c r="G670" s="610" t="s">
        <v>379</v>
      </c>
      <c r="H670" s="611" t="s">
        <v>626</v>
      </c>
    </row>
    <row r="671" spans="1:8" ht="31.5">
      <c r="A671" s="608" t="s">
        <v>639</v>
      </c>
      <c r="B671" s="612" t="s">
        <v>640</v>
      </c>
      <c r="C671" s="610" t="s">
        <v>379</v>
      </c>
      <c r="D671" s="610" t="s">
        <v>379</v>
      </c>
      <c r="E671" s="610" t="s">
        <v>379</v>
      </c>
      <c r="F671" s="610" t="s">
        <v>379</v>
      </c>
      <c r="G671" s="610" t="s">
        <v>379</v>
      </c>
      <c r="H671" s="611" t="s">
        <v>626</v>
      </c>
    </row>
    <row r="672" spans="1:8" ht="12.75" customHeight="1">
      <c r="A672" s="608">
        <v>3</v>
      </c>
      <c r="B672" s="706" t="s">
        <v>674</v>
      </c>
      <c r="C672" s="706"/>
      <c r="D672" s="706"/>
      <c r="E672" s="706"/>
      <c r="F672" s="706"/>
      <c r="G672" s="706"/>
      <c r="H672" s="706"/>
    </row>
    <row r="673" spans="1:8" ht="31.5">
      <c r="A673" s="608" t="s">
        <v>378</v>
      </c>
      <c r="B673" s="613" t="s">
        <v>642</v>
      </c>
      <c r="C673" s="610" t="s">
        <v>379</v>
      </c>
      <c r="D673" s="610" t="s">
        <v>379</v>
      </c>
      <c r="E673" s="610" t="s">
        <v>379</v>
      </c>
      <c r="F673" s="610" t="s">
        <v>379</v>
      </c>
      <c r="G673" s="610" t="s">
        <v>379</v>
      </c>
      <c r="H673" s="611" t="s">
        <v>626</v>
      </c>
    </row>
    <row r="674" spans="1:8" ht="15.75">
      <c r="A674" s="608" t="s">
        <v>643</v>
      </c>
      <c r="B674" s="613" t="s">
        <v>644</v>
      </c>
      <c r="C674" s="610" t="s">
        <v>685</v>
      </c>
      <c r="D674" s="610" t="s">
        <v>687</v>
      </c>
      <c r="E674" s="610" t="s">
        <v>379</v>
      </c>
      <c r="F674" s="610" t="s">
        <v>379</v>
      </c>
      <c r="G674" s="614">
        <v>0</v>
      </c>
      <c r="H674" s="611"/>
    </row>
    <row r="675" spans="1:8" ht="15.75">
      <c r="A675" s="608" t="s">
        <v>380</v>
      </c>
      <c r="B675" s="613" t="s">
        <v>646</v>
      </c>
      <c r="C675" s="610" t="s">
        <v>688</v>
      </c>
      <c r="D675" s="610" t="s">
        <v>689</v>
      </c>
      <c r="E675" s="610" t="s">
        <v>379</v>
      </c>
      <c r="F675" s="610" t="s">
        <v>379</v>
      </c>
      <c r="G675" s="614">
        <v>0</v>
      </c>
      <c r="H675" s="611"/>
    </row>
    <row r="676" spans="1:8" ht="15.75">
      <c r="A676" s="608" t="s">
        <v>649</v>
      </c>
      <c r="B676" s="613" t="s">
        <v>650</v>
      </c>
      <c r="C676" s="610" t="s">
        <v>690</v>
      </c>
      <c r="D676" s="610" t="s">
        <v>691</v>
      </c>
      <c r="E676" s="610" t="s">
        <v>379</v>
      </c>
      <c r="F676" s="610" t="s">
        <v>379</v>
      </c>
      <c r="G676" s="614">
        <v>0</v>
      </c>
      <c r="H676" s="611"/>
    </row>
    <row r="677" spans="1:8" ht="15.75">
      <c r="A677" s="608" t="s">
        <v>653</v>
      </c>
      <c r="B677" s="613" t="s">
        <v>654</v>
      </c>
      <c r="C677" s="610" t="s">
        <v>692</v>
      </c>
      <c r="D677" s="610" t="s">
        <v>686</v>
      </c>
      <c r="E677" s="610" t="s">
        <v>379</v>
      </c>
      <c r="F677" s="610" t="s">
        <v>379</v>
      </c>
      <c r="G677" s="614">
        <v>0</v>
      </c>
      <c r="H677" s="611"/>
    </row>
    <row r="678" spans="1:8" ht="12.75" customHeight="1">
      <c r="A678" s="608">
        <v>4</v>
      </c>
      <c r="B678" s="706" t="s">
        <v>656</v>
      </c>
      <c r="C678" s="706"/>
      <c r="D678" s="706"/>
      <c r="E678" s="706"/>
      <c r="F678" s="706"/>
      <c r="G678" s="706"/>
      <c r="H678" s="706"/>
    </row>
    <row r="679" spans="1:8" ht="31.5">
      <c r="A679" s="608" t="s">
        <v>657</v>
      </c>
      <c r="B679" s="612" t="s">
        <v>658</v>
      </c>
      <c r="C679" s="610" t="s">
        <v>379</v>
      </c>
      <c r="D679" s="610" t="s">
        <v>379</v>
      </c>
      <c r="E679" s="610" t="s">
        <v>379</v>
      </c>
      <c r="F679" s="610" t="s">
        <v>379</v>
      </c>
      <c r="G679" s="610" t="s">
        <v>379</v>
      </c>
      <c r="H679" s="611" t="s">
        <v>626</v>
      </c>
    </row>
    <row r="680" spans="1:8" ht="47.25">
      <c r="A680" s="608" t="s">
        <v>659</v>
      </c>
      <c r="B680" s="612" t="s">
        <v>660</v>
      </c>
      <c r="C680" s="610" t="s">
        <v>379</v>
      </c>
      <c r="D680" s="610" t="s">
        <v>379</v>
      </c>
      <c r="E680" s="610" t="s">
        <v>379</v>
      </c>
      <c r="F680" s="610" t="s">
        <v>379</v>
      </c>
      <c r="G680" s="610" t="s">
        <v>379</v>
      </c>
      <c r="H680" s="611" t="s">
        <v>626</v>
      </c>
    </row>
    <row r="681" spans="1:8" ht="31.5">
      <c r="A681" s="608" t="s">
        <v>661</v>
      </c>
      <c r="B681" s="613" t="s">
        <v>662</v>
      </c>
      <c r="C681" s="610" t="s">
        <v>379</v>
      </c>
      <c r="D681" s="610" t="s">
        <v>379</v>
      </c>
      <c r="E681" s="610" t="s">
        <v>379</v>
      </c>
      <c r="F681" s="610" t="s">
        <v>379</v>
      </c>
      <c r="G681" s="610" t="s">
        <v>379</v>
      </c>
      <c r="H681" s="611" t="s">
        <v>626</v>
      </c>
    </row>
    <row r="682" spans="1:8" ht="31.5">
      <c r="A682" s="615" t="s">
        <v>663</v>
      </c>
      <c r="B682" s="616" t="s">
        <v>664</v>
      </c>
      <c r="C682" s="617" t="s">
        <v>379</v>
      </c>
      <c r="D682" s="617" t="s">
        <v>379</v>
      </c>
      <c r="E682" s="617" t="s">
        <v>379</v>
      </c>
      <c r="F682" s="617" t="s">
        <v>379</v>
      </c>
      <c r="G682" s="617" t="s">
        <v>379</v>
      </c>
      <c r="H682" s="618" t="s">
        <v>626</v>
      </c>
    </row>
    <row r="683" spans="1:8" ht="15.75">
      <c r="A683" s="619"/>
      <c r="B683" s="620"/>
      <c r="C683" s="621"/>
      <c r="D683" s="621"/>
      <c r="E683" s="621"/>
      <c r="F683" s="621"/>
      <c r="G683" s="621"/>
      <c r="H683" s="148"/>
    </row>
    <row r="684" spans="1:8" ht="12.75" customHeight="1">
      <c r="A684" s="707" t="s">
        <v>665</v>
      </c>
      <c r="B684" s="707"/>
      <c r="C684" s="707"/>
      <c r="D684" s="707"/>
      <c r="E684" s="707"/>
      <c r="F684" s="707"/>
      <c r="G684" s="707"/>
      <c r="H684" s="707"/>
    </row>
    <row r="687" ht="15.75">
      <c r="H687" s="11" t="s">
        <v>609</v>
      </c>
    </row>
    <row r="688" ht="15.75">
      <c r="H688" s="11" t="s">
        <v>610</v>
      </c>
    </row>
    <row r="689" ht="15.75">
      <c r="H689" s="11" t="s">
        <v>611</v>
      </c>
    </row>
    <row r="690" ht="15.75">
      <c r="H690" s="11"/>
    </row>
    <row r="691" spans="1:8" ht="12.75" customHeight="1">
      <c r="A691" s="713" t="s">
        <v>612</v>
      </c>
      <c r="B691" s="713"/>
      <c r="C691" s="713"/>
      <c r="D691" s="713"/>
      <c r="E691" s="713"/>
      <c r="F691" s="713"/>
      <c r="G691" s="713"/>
      <c r="H691" s="713"/>
    </row>
    <row r="692" spans="1:8" ht="12.75" customHeight="1">
      <c r="A692" s="713" t="s">
        <v>613</v>
      </c>
      <c r="B692" s="713"/>
      <c r="C692" s="713"/>
      <c r="D692" s="713"/>
      <c r="E692" s="713"/>
      <c r="F692" s="713"/>
      <c r="G692" s="713"/>
      <c r="H692" s="713"/>
    </row>
    <row r="693" ht="15.75">
      <c r="H693" s="11" t="s">
        <v>43</v>
      </c>
    </row>
    <row r="694" ht="15.75">
      <c r="H694" s="11" t="s">
        <v>44</v>
      </c>
    </row>
    <row r="695" ht="15.75">
      <c r="H695" s="11" t="s">
        <v>45</v>
      </c>
    </row>
    <row r="696" ht="15.75">
      <c r="H696" s="594" t="s">
        <v>614</v>
      </c>
    </row>
    <row r="697" ht="15.75">
      <c r="H697" s="11" t="s">
        <v>615</v>
      </c>
    </row>
    <row r="698" ht="15.75">
      <c r="H698" s="11" t="s">
        <v>47</v>
      </c>
    </row>
    <row r="699" ht="15.75">
      <c r="A699" s="595"/>
    </row>
    <row r="700" ht="15.75">
      <c r="A700" s="3" t="s">
        <v>706</v>
      </c>
    </row>
    <row r="701" spans="1:8" ht="12.75" customHeight="1">
      <c r="A701" s="717" t="s">
        <v>0</v>
      </c>
      <c r="B701" s="714"/>
      <c r="C701" s="714"/>
      <c r="D701" s="714"/>
      <c r="E701" s="714"/>
      <c r="F701" s="714"/>
      <c r="G701" s="714"/>
      <c r="H701" s="714"/>
    </row>
    <row r="702" spans="1:8" ht="16.5" thickBot="1">
      <c r="A702" s="597"/>
      <c r="B702" s="597"/>
      <c r="C702" s="598"/>
      <c r="D702" s="598"/>
      <c r="E702" s="598"/>
      <c r="F702" s="598"/>
      <c r="G702" s="598"/>
      <c r="H702" s="598"/>
    </row>
    <row r="703" spans="1:8" ht="12.75" customHeight="1">
      <c r="A703" s="708" t="s">
        <v>617</v>
      </c>
      <c r="B703" s="710" t="s">
        <v>618</v>
      </c>
      <c r="C703" s="711" t="s">
        <v>619</v>
      </c>
      <c r="D703" s="711"/>
      <c r="E703" s="711"/>
      <c r="F703" s="711"/>
      <c r="G703" s="712" t="s">
        <v>620</v>
      </c>
      <c r="H703" s="708" t="s">
        <v>621</v>
      </c>
    </row>
    <row r="704" spans="1:8" ht="15.75">
      <c r="A704" s="708"/>
      <c r="B704" s="710"/>
      <c r="C704" s="711"/>
      <c r="D704" s="711"/>
      <c r="E704" s="711"/>
      <c r="F704" s="711"/>
      <c r="G704" s="712"/>
      <c r="H704" s="708"/>
    </row>
    <row r="705" spans="1:8" ht="31.5">
      <c r="A705" s="708"/>
      <c r="B705" s="710"/>
      <c r="C705" s="601" t="s">
        <v>622</v>
      </c>
      <c r="D705" s="601" t="s">
        <v>623</v>
      </c>
      <c r="E705" s="602" t="s">
        <v>622</v>
      </c>
      <c r="F705" s="603" t="s">
        <v>623</v>
      </c>
      <c r="G705" s="712"/>
      <c r="H705" s="708"/>
    </row>
    <row r="706" spans="1:8" ht="15.75">
      <c r="A706" s="599">
        <v>1</v>
      </c>
      <c r="B706" s="599">
        <v>2</v>
      </c>
      <c r="C706" s="604">
        <v>3</v>
      </c>
      <c r="D706" s="604">
        <v>4</v>
      </c>
      <c r="E706" s="605"/>
      <c r="F706" s="606"/>
      <c r="G706" s="600">
        <v>5</v>
      </c>
      <c r="H706" s="599">
        <v>6</v>
      </c>
    </row>
    <row r="707" spans="1:8" ht="12.75" customHeight="1">
      <c r="A707" s="607">
        <v>1</v>
      </c>
      <c r="B707" s="709" t="s">
        <v>624</v>
      </c>
      <c r="C707" s="709"/>
      <c r="D707" s="709"/>
      <c r="E707" s="709"/>
      <c r="F707" s="709"/>
      <c r="G707" s="709"/>
      <c r="H707" s="709"/>
    </row>
    <row r="708" spans="1:8" ht="15.75">
      <c r="A708" s="608" t="s">
        <v>74</v>
      </c>
      <c r="B708" s="609" t="s">
        <v>625</v>
      </c>
      <c r="C708" s="610" t="s">
        <v>379</v>
      </c>
      <c r="D708" s="610" t="s">
        <v>379</v>
      </c>
      <c r="E708" s="610" t="s">
        <v>379</v>
      </c>
      <c r="F708" s="610" t="s">
        <v>379</v>
      </c>
      <c r="G708" s="610" t="s">
        <v>379</v>
      </c>
      <c r="H708" s="611" t="s">
        <v>626</v>
      </c>
    </row>
    <row r="709" spans="1:8" ht="15.75">
      <c r="A709" s="608" t="s">
        <v>313</v>
      </c>
      <c r="B709" s="609" t="s">
        <v>627</v>
      </c>
      <c r="C709" s="610" t="s">
        <v>379</v>
      </c>
      <c r="D709" s="610" t="s">
        <v>379</v>
      </c>
      <c r="E709" s="610" t="s">
        <v>379</v>
      </c>
      <c r="F709" s="610" t="s">
        <v>379</v>
      </c>
      <c r="G709" s="610" t="s">
        <v>379</v>
      </c>
      <c r="H709" s="611" t="s">
        <v>626</v>
      </c>
    </row>
    <row r="710" spans="1:8" ht="31.5">
      <c r="A710" s="608" t="s">
        <v>315</v>
      </c>
      <c r="B710" s="612" t="s">
        <v>628</v>
      </c>
      <c r="C710" s="610" t="s">
        <v>379</v>
      </c>
      <c r="D710" s="610" t="s">
        <v>379</v>
      </c>
      <c r="E710" s="610" t="s">
        <v>379</v>
      </c>
      <c r="F710" s="610" t="s">
        <v>379</v>
      </c>
      <c r="G710" s="610" t="s">
        <v>379</v>
      </c>
      <c r="H710" s="611" t="s">
        <v>626</v>
      </c>
    </row>
    <row r="711" spans="1:8" ht="47.25">
      <c r="A711" s="608" t="s">
        <v>317</v>
      </c>
      <c r="B711" s="612" t="s">
        <v>629</v>
      </c>
      <c r="C711" s="610" t="s">
        <v>379</v>
      </c>
      <c r="D711" s="610" t="s">
        <v>379</v>
      </c>
      <c r="E711" s="610" t="s">
        <v>379</v>
      </c>
      <c r="F711" s="610" t="s">
        <v>379</v>
      </c>
      <c r="G711" s="610" t="s">
        <v>379</v>
      </c>
      <c r="H711" s="611" t="s">
        <v>626</v>
      </c>
    </row>
    <row r="712" spans="1:8" ht="15.75">
      <c r="A712" s="608" t="s">
        <v>630</v>
      </c>
      <c r="B712" s="613" t="s">
        <v>631</v>
      </c>
      <c r="C712" s="610" t="s">
        <v>379</v>
      </c>
      <c r="D712" s="610" t="s">
        <v>379</v>
      </c>
      <c r="E712" s="610" t="s">
        <v>379</v>
      </c>
      <c r="F712" s="610" t="s">
        <v>379</v>
      </c>
      <c r="G712" s="610" t="s">
        <v>379</v>
      </c>
      <c r="H712" s="611" t="s">
        <v>626</v>
      </c>
    </row>
    <row r="713" spans="1:8" ht="15.75">
      <c r="A713" s="608" t="s">
        <v>632</v>
      </c>
      <c r="B713" s="613" t="s">
        <v>633</v>
      </c>
      <c r="C713" s="610" t="s">
        <v>379</v>
      </c>
      <c r="D713" s="610" t="s">
        <v>379</v>
      </c>
      <c r="E713" s="610" t="s">
        <v>379</v>
      </c>
      <c r="F713" s="610" t="s">
        <v>379</v>
      </c>
      <c r="G713" s="610" t="s">
        <v>379</v>
      </c>
      <c r="H713" s="611" t="s">
        <v>626</v>
      </c>
    </row>
    <row r="714" spans="1:8" ht="12.75" customHeight="1">
      <c r="A714" s="608">
        <v>2</v>
      </c>
      <c r="B714" s="706" t="s">
        <v>634</v>
      </c>
      <c r="C714" s="706"/>
      <c r="D714" s="706"/>
      <c r="E714" s="706"/>
      <c r="F714" s="706"/>
      <c r="G714" s="706"/>
      <c r="H714" s="706"/>
    </row>
    <row r="715" spans="1:8" ht="31.5">
      <c r="A715" s="608" t="s">
        <v>321</v>
      </c>
      <c r="B715" s="612" t="s">
        <v>635</v>
      </c>
      <c r="C715" s="610" t="s">
        <v>636</v>
      </c>
      <c r="D715" s="610" t="s">
        <v>670</v>
      </c>
      <c r="E715" s="610" t="s">
        <v>379</v>
      </c>
      <c r="F715" s="610" t="s">
        <v>379</v>
      </c>
      <c r="G715" s="614">
        <v>0</v>
      </c>
      <c r="H715" s="611"/>
    </row>
    <row r="716" spans="1:8" ht="47.25">
      <c r="A716" s="608" t="s">
        <v>325</v>
      </c>
      <c r="B716" s="612" t="s">
        <v>638</v>
      </c>
      <c r="C716" s="610" t="s">
        <v>379</v>
      </c>
      <c r="D716" s="610" t="s">
        <v>379</v>
      </c>
      <c r="E716" s="610" t="s">
        <v>379</v>
      </c>
      <c r="F716" s="610" t="s">
        <v>379</v>
      </c>
      <c r="G716" s="610" t="s">
        <v>379</v>
      </c>
      <c r="H716" s="611" t="s">
        <v>626</v>
      </c>
    </row>
    <row r="717" spans="1:8" ht="31.5">
      <c r="A717" s="608" t="s">
        <v>639</v>
      </c>
      <c r="B717" s="612" t="s">
        <v>640</v>
      </c>
      <c r="C717" s="610" t="s">
        <v>379</v>
      </c>
      <c r="D717" s="610" t="s">
        <v>379</v>
      </c>
      <c r="E717" s="610" t="s">
        <v>379</v>
      </c>
      <c r="F717" s="610" t="s">
        <v>379</v>
      </c>
      <c r="G717" s="610" t="s">
        <v>379</v>
      </c>
      <c r="H717" s="611" t="s">
        <v>626</v>
      </c>
    </row>
    <row r="718" spans="1:8" ht="12.75" customHeight="1">
      <c r="A718" s="608">
        <v>3</v>
      </c>
      <c r="B718" s="706" t="s">
        <v>641</v>
      </c>
      <c r="C718" s="706"/>
      <c r="D718" s="706"/>
      <c r="E718" s="706"/>
      <c r="F718" s="706"/>
      <c r="G718" s="706"/>
      <c r="H718" s="706"/>
    </row>
    <row r="719" spans="1:8" ht="31.5">
      <c r="A719" s="608" t="s">
        <v>378</v>
      </c>
      <c r="B719" s="613" t="s">
        <v>642</v>
      </c>
      <c r="C719" s="610" t="s">
        <v>379</v>
      </c>
      <c r="D719" s="610" t="s">
        <v>379</v>
      </c>
      <c r="E719" s="610" t="s">
        <v>379</v>
      </c>
      <c r="F719" s="610" t="s">
        <v>379</v>
      </c>
      <c r="G719" s="610" t="s">
        <v>379</v>
      </c>
      <c r="H719" s="611" t="s">
        <v>626</v>
      </c>
    </row>
    <row r="720" spans="1:8" ht="15.75">
      <c r="A720" s="608" t="s">
        <v>643</v>
      </c>
      <c r="B720" s="613" t="s">
        <v>644</v>
      </c>
      <c r="C720" s="610" t="s">
        <v>636</v>
      </c>
      <c r="D720" s="610" t="s">
        <v>671</v>
      </c>
      <c r="E720" s="610" t="s">
        <v>379</v>
      </c>
      <c r="F720" s="610" t="s">
        <v>379</v>
      </c>
      <c r="G720" s="614">
        <v>0</v>
      </c>
      <c r="H720" s="611"/>
    </row>
    <row r="721" spans="1:8" ht="15.75">
      <c r="A721" s="608" t="s">
        <v>380</v>
      </c>
      <c r="B721" s="613" t="s">
        <v>646</v>
      </c>
      <c r="C721" s="610" t="s">
        <v>647</v>
      </c>
      <c r="D721" s="610" t="s">
        <v>651</v>
      </c>
      <c r="E721" s="610" t="s">
        <v>379</v>
      </c>
      <c r="F721" s="610" t="s">
        <v>379</v>
      </c>
      <c r="G721" s="614">
        <v>0</v>
      </c>
      <c r="H721" s="611"/>
    </row>
    <row r="722" spans="1:8" ht="15.75">
      <c r="A722" s="608" t="s">
        <v>649</v>
      </c>
      <c r="B722" s="613" t="s">
        <v>650</v>
      </c>
      <c r="C722" s="610" t="s">
        <v>651</v>
      </c>
      <c r="D722" s="610" t="s">
        <v>672</v>
      </c>
      <c r="E722" s="610" t="s">
        <v>379</v>
      </c>
      <c r="F722" s="610" t="s">
        <v>379</v>
      </c>
      <c r="G722" s="614">
        <v>0</v>
      </c>
      <c r="H722" s="611"/>
    </row>
    <row r="723" spans="1:8" ht="15.75">
      <c r="A723" s="608" t="s">
        <v>653</v>
      </c>
      <c r="B723" s="613" t="s">
        <v>654</v>
      </c>
      <c r="C723" s="610" t="s">
        <v>672</v>
      </c>
      <c r="D723" s="610" t="s">
        <v>670</v>
      </c>
      <c r="E723" s="610" t="s">
        <v>379</v>
      </c>
      <c r="F723" s="610" t="s">
        <v>379</v>
      </c>
      <c r="G723" s="614">
        <v>0</v>
      </c>
      <c r="H723" s="611"/>
    </row>
    <row r="724" spans="1:8" ht="12.75" customHeight="1">
      <c r="A724" s="608">
        <v>4</v>
      </c>
      <c r="B724" s="706" t="s">
        <v>656</v>
      </c>
      <c r="C724" s="706"/>
      <c r="D724" s="706"/>
      <c r="E724" s="706"/>
      <c r="F724" s="706"/>
      <c r="G724" s="706"/>
      <c r="H724" s="706"/>
    </row>
    <row r="725" spans="1:8" ht="31.5">
      <c r="A725" s="608" t="s">
        <v>657</v>
      </c>
      <c r="B725" s="612" t="s">
        <v>658</v>
      </c>
      <c r="C725" s="610" t="s">
        <v>379</v>
      </c>
      <c r="D725" s="610" t="s">
        <v>379</v>
      </c>
      <c r="E725" s="610" t="s">
        <v>379</v>
      </c>
      <c r="F725" s="610" t="s">
        <v>379</v>
      </c>
      <c r="G725" s="610" t="s">
        <v>379</v>
      </c>
      <c r="H725" s="611" t="s">
        <v>626</v>
      </c>
    </row>
    <row r="726" spans="1:8" ht="47.25">
      <c r="A726" s="608" t="s">
        <v>659</v>
      </c>
      <c r="B726" s="612" t="s">
        <v>660</v>
      </c>
      <c r="C726" s="610" t="s">
        <v>379</v>
      </c>
      <c r="D726" s="610" t="s">
        <v>379</v>
      </c>
      <c r="E726" s="610" t="s">
        <v>379</v>
      </c>
      <c r="F726" s="610" t="s">
        <v>379</v>
      </c>
      <c r="G726" s="610" t="s">
        <v>379</v>
      </c>
      <c r="H726" s="611" t="s">
        <v>626</v>
      </c>
    </row>
    <row r="727" spans="1:8" ht="31.5">
      <c r="A727" s="608" t="s">
        <v>661</v>
      </c>
      <c r="B727" s="613" t="s">
        <v>662</v>
      </c>
      <c r="C727" s="610" t="s">
        <v>379</v>
      </c>
      <c r="D727" s="610" t="s">
        <v>379</v>
      </c>
      <c r="E727" s="610" t="s">
        <v>379</v>
      </c>
      <c r="F727" s="610" t="s">
        <v>379</v>
      </c>
      <c r="G727" s="610" t="s">
        <v>379</v>
      </c>
      <c r="H727" s="611" t="s">
        <v>626</v>
      </c>
    </row>
    <row r="728" spans="1:8" ht="31.5">
      <c r="A728" s="615" t="s">
        <v>663</v>
      </c>
      <c r="B728" s="616" t="s">
        <v>664</v>
      </c>
      <c r="C728" s="617" t="s">
        <v>379</v>
      </c>
      <c r="D728" s="617" t="s">
        <v>379</v>
      </c>
      <c r="E728" s="617" t="s">
        <v>379</v>
      </c>
      <c r="F728" s="617" t="s">
        <v>379</v>
      </c>
      <c r="G728" s="617" t="s">
        <v>379</v>
      </c>
      <c r="H728" s="618" t="s">
        <v>626</v>
      </c>
    </row>
    <row r="729" spans="1:8" ht="15.75">
      <c r="A729" s="619"/>
      <c r="B729" s="620"/>
      <c r="C729" s="621"/>
      <c r="D729" s="621"/>
      <c r="E729" s="621"/>
      <c r="F729" s="621"/>
      <c r="G729" s="621"/>
      <c r="H729" s="148"/>
    </row>
    <row r="730" spans="1:8" ht="12.75" customHeight="1">
      <c r="A730" s="707" t="s">
        <v>665</v>
      </c>
      <c r="B730" s="707"/>
      <c r="C730" s="707"/>
      <c r="D730" s="707"/>
      <c r="E730" s="707"/>
      <c r="F730" s="707"/>
      <c r="G730" s="707"/>
      <c r="H730" s="707"/>
    </row>
    <row r="733" ht="15.75">
      <c r="H733" s="11" t="s">
        <v>609</v>
      </c>
    </row>
    <row r="734" ht="15.75">
      <c r="H734" s="11" t="s">
        <v>610</v>
      </c>
    </row>
    <row r="735" ht="15.75">
      <c r="H735" s="11" t="s">
        <v>611</v>
      </c>
    </row>
    <row r="736" ht="15.75">
      <c r="H736" s="11"/>
    </row>
    <row r="737" spans="1:8" ht="12.75" customHeight="1">
      <c r="A737" s="713" t="s">
        <v>612</v>
      </c>
      <c r="B737" s="713"/>
      <c r="C737" s="713"/>
      <c r="D737" s="713"/>
      <c r="E737" s="713"/>
      <c r="F737" s="713"/>
      <c r="G737" s="713"/>
      <c r="H737" s="713"/>
    </row>
    <row r="738" spans="1:8" ht="12.75" customHeight="1">
      <c r="A738" s="713" t="s">
        <v>613</v>
      </c>
      <c r="B738" s="713"/>
      <c r="C738" s="713"/>
      <c r="D738" s="713"/>
      <c r="E738" s="713"/>
      <c r="F738" s="713"/>
      <c r="G738" s="713"/>
      <c r="H738" s="713"/>
    </row>
    <row r="739" ht="15.75">
      <c r="H739" s="11" t="s">
        <v>43</v>
      </c>
    </row>
    <row r="740" ht="15.75">
      <c r="H740" s="11" t="s">
        <v>44</v>
      </c>
    </row>
    <row r="741" ht="15.75">
      <c r="H741" s="11" t="s">
        <v>45</v>
      </c>
    </row>
    <row r="742" ht="15.75">
      <c r="H742" s="594" t="s">
        <v>614</v>
      </c>
    </row>
    <row r="743" ht="15.75">
      <c r="H743" s="11" t="s">
        <v>615</v>
      </c>
    </row>
    <row r="744" ht="15.75">
      <c r="H744" s="11" t="s">
        <v>47</v>
      </c>
    </row>
    <row r="745" ht="15.75">
      <c r="A745" s="595"/>
    </row>
    <row r="746" ht="15.75">
      <c r="A746" s="3" t="s">
        <v>707</v>
      </c>
    </row>
    <row r="747" spans="1:8" ht="12.75" customHeight="1">
      <c r="A747" s="717" t="s">
        <v>0</v>
      </c>
      <c r="B747" s="714"/>
      <c r="C747" s="714"/>
      <c r="D747" s="714"/>
      <c r="E747" s="714"/>
      <c r="F747" s="714"/>
      <c r="G747" s="714"/>
      <c r="H747" s="714"/>
    </row>
    <row r="748" spans="1:8" ht="16.5" thickBot="1">
      <c r="A748" s="597"/>
      <c r="B748" s="597"/>
      <c r="C748" s="598"/>
      <c r="D748" s="598"/>
      <c r="E748" s="598"/>
      <c r="F748" s="598"/>
      <c r="G748" s="598"/>
      <c r="H748" s="598"/>
    </row>
    <row r="749" spans="1:8" ht="12.75" customHeight="1">
      <c r="A749" s="708" t="s">
        <v>617</v>
      </c>
      <c r="B749" s="710" t="s">
        <v>618</v>
      </c>
      <c r="C749" s="711" t="s">
        <v>619</v>
      </c>
      <c r="D749" s="711"/>
      <c r="E749" s="711"/>
      <c r="F749" s="711"/>
      <c r="G749" s="712" t="s">
        <v>620</v>
      </c>
      <c r="H749" s="708" t="s">
        <v>621</v>
      </c>
    </row>
    <row r="750" spans="1:8" ht="15.75">
      <c r="A750" s="708"/>
      <c r="B750" s="710"/>
      <c r="C750" s="711"/>
      <c r="D750" s="711"/>
      <c r="E750" s="711"/>
      <c r="F750" s="711"/>
      <c r="G750" s="712"/>
      <c r="H750" s="708"/>
    </row>
    <row r="751" spans="1:8" ht="31.5">
      <c r="A751" s="708"/>
      <c r="B751" s="710"/>
      <c r="C751" s="601" t="s">
        <v>622</v>
      </c>
      <c r="D751" s="601" t="s">
        <v>623</v>
      </c>
      <c r="E751" s="602" t="s">
        <v>622</v>
      </c>
      <c r="F751" s="603" t="s">
        <v>623</v>
      </c>
      <c r="G751" s="712"/>
      <c r="H751" s="708"/>
    </row>
    <row r="752" spans="1:8" ht="15.75">
      <c r="A752" s="599">
        <v>1</v>
      </c>
      <c r="B752" s="599">
        <v>2</v>
      </c>
      <c r="C752" s="604">
        <v>3</v>
      </c>
      <c r="D752" s="604">
        <v>4</v>
      </c>
      <c r="E752" s="605"/>
      <c r="F752" s="606"/>
      <c r="G752" s="600">
        <v>5</v>
      </c>
      <c r="H752" s="599">
        <v>6</v>
      </c>
    </row>
    <row r="753" spans="1:8" ht="12.75" customHeight="1">
      <c r="A753" s="607">
        <v>1</v>
      </c>
      <c r="B753" s="709" t="s">
        <v>624</v>
      </c>
      <c r="C753" s="709"/>
      <c r="D753" s="709"/>
      <c r="E753" s="709"/>
      <c r="F753" s="709"/>
      <c r="G753" s="709"/>
      <c r="H753" s="709"/>
    </row>
    <row r="754" spans="1:8" ht="15.75">
      <c r="A754" s="608" t="s">
        <v>74</v>
      </c>
      <c r="B754" s="609" t="s">
        <v>625</v>
      </c>
      <c r="C754" s="610" t="s">
        <v>379</v>
      </c>
      <c r="D754" s="610" t="s">
        <v>379</v>
      </c>
      <c r="E754" s="610" t="s">
        <v>379</v>
      </c>
      <c r="F754" s="610" t="s">
        <v>379</v>
      </c>
      <c r="G754" s="610" t="s">
        <v>379</v>
      </c>
      <c r="H754" s="611" t="s">
        <v>626</v>
      </c>
    </row>
    <row r="755" spans="1:8" ht="15.75">
      <c r="A755" s="608" t="s">
        <v>313</v>
      </c>
      <c r="B755" s="609" t="s">
        <v>627</v>
      </c>
      <c r="C755" s="610" t="s">
        <v>379</v>
      </c>
      <c r="D755" s="610" t="s">
        <v>379</v>
      </c>
      <c r="E755" s="610" t="s">
        <v>379</v>
      </c>
      <c r="F755" s="610" t="s">
        <v>379</v>
      </c>
      <c r="G755" s="610" t="s">
        <v>379</v>
      </c>
      <c r="H755" s="611" t="s">
        <v>626</v>
      </c>
    </row>
    <row r="756" spans="1:8" ht="31.5">
      <c r="A756" s="608" t="s">
        <v>315</v>
      </c>
      <c r="B756" s="612" t="s">
        <v>628</v>
      </c>
      <c r="C756" s="610" t="s">
        <v>379</v>
      </c>
      <c r="D756" s="610" t="s">
        <v>379</v>
      </c>
      <c r="E756" s="610" t="s">
        <v>379</v>
      </c>
      <c r="F756" s="610" t="s">
        <v>379</v>
      </c>
      <c r="G756" s="610" t="s">
        <v>379</v>
      </c>
      <c r="H756" s="611" t="s">
        <v>626</v>
      </c>
    </row>
    <row r="757" spans="1:8" ht="47.25">
      <c r="A757" s="608" t="s">
        <v>317</v>
      </c>
      <c r="B757" s="612" t="s">
        <v>629</v>
      </c>
      <c r="C757" s="610" t="s">
        <v>379</v>
      </c>
      <c r="D757" s="610" t="s">
        <v>379</v>
      </c>
      <c r="E757" s="610" t="s">
        <v>379</v>
      </c>
      <c r="F757" s="610" t="s">
        <v>379</v>
      </c>
      <c r="G757" s="610" t="s">
        <v>379</v>
      </c>
      <c r="H757" s="611" t="s">
        <v>626</v>
      </c>
    </row>
    <row r="758" spans="1:8" ht="15.75">
      <c r="A758" s="608" t="s">
        <v>630</v>
      </c>
      <c r="B758" s="613" t="s">
        <v>631</v>
      </c>
      <c r="C758" s="610" t="s">
        <v>379</v>
      </c>
      <c r="D758" s="610" t="s">
        <v>379</v>
      </c>
      <c r="E758" s="610" t="s">
        <v>379</v>
      </c>
      <c r="F758" s="610" t="s">
        <v>379</v>
      </c>
      <c r="G758" s="610" t="s">
        <v>379</v>
      </c>
      <c r="H758" s="611" t="s">
        <v>626</v>
      </c>
    </row>
    <row r="759" spans="1:8" ht="15.75">
      <c r="A759" s="608" t="s">
        <v>632</v>
      </c>
      <c r="B759" s="613" t="s">
        <v>633</v>
      </c>
      <c r="C759" s="610" t="s">
        <v>379</v>
      </c>
      <c r="D759" s="610" t="s">
        <v>379</v>
      </c>
      <c r="E759" s="610" t="s">
        <v>379</v>
      </c>
      <c r="F759" s="610" t="s">
        <v>379</v>
      </c>
      <c r="G759" s="610" t="s">
        <v>379</v>
      </c>
      <c r="H759" s="611" t="s">
        <v>626</v>
      </c>
    </row>
    <row r="760" spans="1:8" ht="12.75" customHeight="1">
      <c r="A760" s="608">
        <v>2</v>
      </c>
      <c r="B760" s="706" t="s">
        <v>634</v>
      </c>
      <c r="C760" s="706"/>
      <c r="D760" s="706"/>
      <c r="E760" s="706"/>
      <c r="F760" s="706"/>
      <c r="G760" s="706"/>
      <c r="H760" s="706"/>
    </row>
    <row r="761" spans="1:8" ht="31.5">
      <c r="A761" s="608" t="s">
        <v>321</v>
      </c>
      <c r="B761" s="612" t="s">
        <v>635</v>
      </c>
      <c r="C761" s="610" t="s">
        <v>636</v>
      </c>
      <c r="D761" s="610" t="s">
        <v>670</v>
      </c>
      <c r="E761" s="610" t="s">
        <v>379</v>
      </c>
      <c r="F761" s="610" t="s">
        <v>379</v>
      </c>
      <c r="G761" s="614">
        <v>0</v>
      </c>
      <c r="H761" s="611"/>
    </row>
    <row r="762" spans="1:8" ht="47.25">
      <c r="A762" s="608" t="s">
        <v>325</v>
      </c>
      <c r="B762" s="612" t="s">
        <v>638</v>
      </c>
      <c r="C762" s="610" t="s">
        <v>379</v>
      </c>
      <c r="D762" s="610" t="s">
        <v>379</v>
      </c>
      <c r="E762" s="610" t="s">
        <v>379</v>
      </c>
      <c r="F762" s="610" t="s">
        <v>379</v>
      </c>
      <c r="G762" s="610" t="s">
        <v>379</v>
      </c>
      <c r="H762" s="611" t="s">
        <v>626</v>
      </c>
    </row>
    <row r="763" spans="1:8" ht="31.5">
      <c r="A763" s="608" t="s">
        <v>639</v>
      </c>
      <c r="B763" s="612" t="s">
        <v>640</v>
      </c>
      <c r="C763" s="610" t="s">
        <v>379</v>
      </c>
      <c r="D763" s="610" t="s">
        <v>379</v>
      </c>
      <c r="E763" s="610" t="s">
        <v>379</v>
      </c>
      <c r="F763" s="610" t="s">
        <v>379</v>
      </c>
      <c r="G763" s="610" t="s">
        <v>379</v>
      </c>
      <c r="H763" s="611" t="s">
        <v>626</v>
      </c>
    </row>
    <row r="764" spans="1:8" ht="12.75" customHeight="1">
      <c r="A764" s="608">
        <v>3</v>
      </c>
      <c r="B764" s="706" t="s">
        <v>674</v>
      </c>
      <c r="C764" s="706"/>
      <c r="D764" s="706"/>
      <c r="E764" s="706"/>
      <c r="F764" s="706"/>
      <c r="G764" s="706"/>
      <c r="H764" s="706"/>
    </row>
    <row r="765" spans="1:8" ht="31.5">
      <c r="A765" s="608" t="s">
        <v>378</v>
      </c>
      <c r="B765" s="613" t="s">
        <v>642</v>
      </c>
      <c r="C765" s="610" t="s">
        <v>379</v>
      </c>
      <c r="D765" s="610" t="s">
        <v>379</v>
      </c>
      <c r="E765" s="610" t="s">
        <v>379</v>
      </c>
      <c r="F765" s="610" t="s">
        <v>379</v>
      </c>
      <c r="G765" s="610" t="s">
        <v>379</v>
      </c>
      <c r="H765" s="611" t="s">
        <v>626</v>
      </c>
    </row>
    <row r="766" spans="1:8" ht="15.75">
      <c r="A766" s="608" t="s">
        <v>643</v>
      </c>
      <c r="B766" s="613" t="s">
        <v>644</v>
      </c>
      <c r="C766" s="610" t="s">
        <v>636</v>
      </c>
      <c r="D766" s="610" t="s">
        <v>671</v>
      </c>
      <c r="E766" s="610" t="s">
        <v>379</v>
      </c>
      <c r="F766" s="610" t="s">
        <v>379</v>
      </c>
      <c r="G766" s="614">
        <v>0</v>
      </c>
      <c r="H766" s="611"/>
    </row>
    <row r="767" spans="1:8" ht="15.75">
      <c r="A767" s="608" t="s">
        <v>380</v>
      </c>
      <c r="B767" s="613" t="s">
        <v>646</v>
      </c>
      <c r="C767" s="610" t="s">
        <v>647</v>
      </c>
      <c r="D767" s="610" t="s">
        <v>651</v>
      </c>
      <c r="E767" s="610" t="s">
        <v>379</v>
      </c>
      <c r="F767" s="610" t="s">
        <v>379</v>
      </c>
      <c r="G767" s="614">
        <v>0</v>
      </c>
      <c r="H767" s="611"/>
    </row>
    <row r="768" spans="1:8" ht="15.75">
      <c r="A768" s="608" t="s">
        <v>649</v>
      </c>
      <c r="B768" s="613" t="s">
        <v>650</v>
      </c>
      <c r="C768" s="610" t="s">
        <v>651</v>
      </c>
      <c r="D768" s="610" t="s">
        <v>672</v>
      </c>
      <c r="E768" s="610" t="s">
        <v>379</v>
      </c>
      <c r="F768" s="610" t="s">
        <v>379</v>
      </c>
      <c r="G768" s="614">
        <v>0</v>
      </c>
      <c r="H768" s="611"/>
    </row>
    <row r="769" spans="1:8" ht="15.75">
      <c r="A769" s="608" t="s">
        <v>653</v>
      </c>
      <c r="B769" s="613" t="s">
        <v>654</v>
      </c>
      <c r="C769" s="610" t="s">
        <v>672</v>
      </c>
      <c r="D769" s="610" t="s">
        <v>670</v>
      </c>
      <c r="E769" s="610" t="s">
        <v>379</v>
      </c>
      <c r="F769" s="610" t="s">
        <v>379</v>
      </c>
      <c r="G769" s="614">
        <v>0</v>
      </c>
      <c r="H769" s="611"/>
    </row>
    <row r="770" spans="1:8" ht="12.75" customHeight="1">
      <c r="A770" s="608">
        <v>4</v>
      </c>
      <c r="B770" s="706" t="s">
        <v>656</v>
      </c>
      <c r="C770" s="706"/>
      <c r="D770" s="706"/>
      <c r="E770" s="706"/>
      <c r="F770" s="706"/>
      <c r="G770" s="706"/>
      <c r="H770" s="706"/>
    </row>
    <row r="771" spans="1:8" ht="31.5">
      <c r="A771" s="608" t="s">
        <v>657</v>
      </c>
      <c r="B771" s="612" t="s">
        <v>658</v>
      </c>
      <c r="C771" s="610" t="s">
        <v>379</v>
      </c>
      <c r="D771" s="610" t="s">
        <v>379</v>
      </c>
      <c r="E771" s="610" t="s">
        <v>379</v>
      </c>
      <c r="F771" s="610" t="s">
        <v>379</v>
      </c>
      <c r="G771" s="610" t="s">
        <v>379</v>
      </c>
      <c r="H771" s="611" t="s">
        <v>626</v>
      </c>
    </row>
    <row r="772" spans="1:8" ht="47.25">
      <c r="A772" s="608" t="s">
        <v>659</v>
      </c>
      <c r="B772" s="612" t="s">
        <v>660</v>
      </c>
      <c r="C772" s="610" t="s">
        <v>379</v>
      </c>
      <c r="D772" s="610" t="s">
        <v>379</v>
      </c>
      <c r="E772" s="610" t="s">
        <v>379</v>
      </c>
      <c r="F772" s="610" t="s">
        <v>379</v>
      </c>
      <c r="G772" s="610" t="s">
        <v>379</v>
      </c>
      <c r="H772" s="611" t="s">
        <v>626</v>
      </c>
    </row>
    <row r="773" spans="1:8" ht="31.5">
      <c r="A773" s="608" t="s">
        <v>661</v>
      </c>
      <c r="B773" s="613" t="s">
        <v>662</v>
      </c>
      <c r="C773" s="610" t="s">
        <v>379</v>
      </c>
      <c r="D773" s="610" t="s">
        <v>379</v>
      </c>
      <c r="E773" s="610" t="s">
        <v>379</v>
      </c>
      <c r="F773" s="610" t="s">
        <v>379</v>
      </c>
      <c r="G773" s="610" t="s">
        <v>379</v>
      </c>
      <c r="H773" s="611" t="s">
        <v>626</v>
      </c>
    </row>
    <row r="774" spans="1:8" ht="31.5">
      <c r="A774" s="615" t="s">
        <v>663</v>
      </c>
      <c r="B774" s="616" t="s">
        <v>664</v>
      </c>
      <c r="C774" s="617" t="s">
        <v>379</v>
      </c>
      <c r="D774" s="617" t="s">
        <v>379</v>
      </c>
      <c r="E774" s="617" t="s">
        <v>379</v>
      </c>
      <c r="F774" s="617" t="s">
        <v>379</v>
      </c>
      <c r="G774" s="617" t="s">
        <v>379</v>
      </c>
      <c r="H774" s="618" t="s">
        <v>626</v>
      </c>
    </row>
    <row r="775" spans="1:8" ht="15.75">
      <c r="A775" s="619"/>
      <c r="B775" s="620"/>
      <c r="C775" s="621"/>
      <c r="D775" s="621"/>
      <c r="E775" s="621"/>
      <c r="F775" s="621"/>
      <c r="G775" s="621"/>
      <c r="H775" s="148"/>
    </row>
    <row r="776" spans="1:8" ht="12.75" customHeight="1">
      <c r="A776" s="707" t="s">
        <v>665</v>
      </c>
      <c r="B776" s="707"/>
      <c r="C776" s="707"/>
      <c r="D776" s="707"/>
      <c r="E776" s="707"/>
      <c r="F776" s="707"/>
      <c r="G776" s="707"/>
      <c r="H776" s="707"/>
    </row>
    <row r="779" ht="15.75">
      <c r="H779" s="11" t="s">
        <v>609</v>
      </c>
    </row>
    <row r="780" ht="15.75">
      <c r="H780" s="11" t="s">
        <v>610</v>
      </c>
    </row>
    <row r="781" ht="15.75">
      <c r="H781" s="11" t="s">
        <v>611</v>
      </c>
    </row>
    <row r="782" ht="15.75">
      <c r="H782" s="11"/>
    </row>
    <row r="783" spans="1:8" ht="12.75" customHeight="1">
      <c r="A783" s="713" t="s">
        <v>612</v>
      </c>
      <c r="B783" s="713"/>
      <c r="C783" s="713"/>
      <c r="D783" s="713"/>
      <c r="E783" s="713"/>
      <c r="F783" s="713"/>
      <c r="G783" s="713"/>
      <c r="H783" s="713"/>
    </row>
    <row r="784" spans="1:8" ht="12.75" customHeight="1">
      <c r="A784" s="713" t="s">
        <v>613</v>
      </c>
      <c r="B784" s="713"/>
      <c r="C784" s="713"/>
      <c r="D784" s="713"/>
      <c r="E784" s="713"/>
      <c r="F784" s="713"/>
      <c r="G784" s="713"/>
      <c r="H784" s="713"/>
    </row>
    <row r="785" ht="15.75">
      <c r="H785" s="11" t="s">
        <v>43</v>
      </c>
    </row>
    <row r="786" ht="15.75">
      <c r="H786" s="11" t="s">
        <v>44</v>
      </c>
    </row>
    <row r="787" ht="15.75">
      <c r="H787" s="11" t="s">
        <v>45</v>
      </c>
    </row>
    <row r="788" ht="15.75">
      <c r="H788" s="594" t="s">
        <v>614</v>
      </c>
    </row>
    <row r="789" ht="15.75">
      <c r="H789" s="11" t="s">
        <v>615</v>
      </c>
    </row>
    <row r="790" ht="15.75">
      <c r="H790" s="11" t="s">
        <v>47</v>
      </c>
    </row>
    <row r="791" ht="15.75">
      <c r="A791" s="595"/>
    </row>
    <row r="792" ht="15.75">
      <c r="A792" s="3" t="s">
        <v>708</v>
      </c>
    </row>
    <row r="793" spans="1:8" ht="12.75" customHeight="1">
      <c r="A793" s="717" t="s">
        <v>0</v>
      </c>
      <c r="B793" s="714"/>
      <c r="C793" s="714"/>
      <c r="D793" s="714"/>
      <c r="E793" s="714"/>
      <c r="F793" s="714"/>
      <c r="G793" s="714"/>
      <c r="H793" s="714"/>
    </row>
    <row r="794" spans="1:8" ht="16.5" thickBot="1">
      <c r="A794" s="597"/>
      <c r="B794" s="597"/>
      <c r="C794" s="598"/>
      <c r="D794" s="598"/>
      <c r="E794" s="598"/>
      <c r="F794" s="598"/>
      <c r="G794" s="598"/>
      <c r="H794" s="598"/>
    </row>
    <row r="795" spans="1:8" ht="12.75" customHeight="1">
      <c r="A795" s="708" t="s">
        <v>617</v>
      </c>
      <c r="B795" s="710" t="s">
        <v>618</v>
      </c>
      <c r="C795" s="711" t="s">
        <v>619</v>
      </c>
      <c r="D795" s="711"/>
      <c r="E795" s="711"/>
      <c r="F795" s="711"/>
      <c r="G795" s="712" t="s">
        <v>620</v>
      </c>
      <c r="H795" s="708" t="s">
        <v>621</v>
      </c>
    </row>
    <row r="796" spans="1:8" ht="15.75">
      <c r="A796" s="708"/>
      <c r="B796" s="710"/>
      <c r="C796" s="711"/>
      <c r="D796" s="711"/>
      <c r="E796" s="711"/>
      <c r="F796" s="711"/>
      <c r="G796" s="712"/>
      <c r="H796" s="708"/>
    </row>
    <row r="797" spans="1:8" ht="31.5">
      <c r="A797" s="708"/>
      <c r="B797" s="710"/>
      <c r="C797" s="601" t="s">
        <v>622</v>
      </c>
      <c r="D797" s="601" t="s">
        <v>623</v>
      </c>
      <c r="E797" s="602" t="s">
        <v>622</v>
      </c>
      <c r="F797" s="603" t="s">
        <v>623</v>
      </c>
      <c r="G797" s="712"/>
      <c r="H797" s="708"/>
    </row>
    <row r="798" spans="1:8" ht="15.75">
      <c r="A798" s="599">
        <v>1</v>
      </c>
      <c r="B798" s="599">
        <v>2</v>
      </c>
      <c r="C798" s="604">
        <v>3</v>
      </c>
      <c r="D798" s="604">
        <v>4</v>
      </c>
      <c r="E798" s="605"/>
      <c r="F798" s="606"/>
      <c r="G798" s="600">
        <v>5</v>
      </c>
      <c r="H798" s="599">
        <v>6</v>
      </c>
    </row>
    <row r="799" spans="1:8" ht="12.75" customHeight="1">
      <c r="A799" s="607">
        <v>1</v>
      </c>
      <c r="B799" s="709" t="s">
        <v>624</v>
      </c>
      <c r="C799" s="709"/>
      <c r="D799" s="709"/>
      <c r="E799" s="709"/>
      <c r="F799" s="709"/>
      <c r="G799" s="709"/>
      <c r="H799" s="709"/>
    </row>
    <row r="800" spans="1:8" ht="15.75">
      <c r="A800" s="608" t="s">
        <v>74</v>
      </c>
      <c r="B800" s="609" t="s">
        <v>625</v>
      </c>
      <c r="C800" s="610" t="s">
        <v>379</v>
      </c>
      <c r="D800" s="610" t="s">
        <v>379</v>
      </c>
      <c r="E800" s="610" t="s">
        <v>379</v>
      </c>
      <c r="F800" s="610" t="s">
        <v>379</v>
      </c>
      <c r="G800" s="610" t="s">
        <v>379</v>
      </c>
      <c r="H800" s="611" t="s">
        <v>626</v>
      </c>
    </row>
    <row r="801" spans="1:8" ht="15.75">
      <c r="A801" s="608" t="s">
        <v>313</v>
      </c>
      <c r="B801" s="609" t="s">
        <v>627</v>
      </c>
      <c r="C801" s="610" t="s">
        <v>379</v>
      </c>
      <c r="D801" s="610" t="s">
        <v>379</v>
      </c>
      <c r="E801" s="610" t="s">
        <v>379</v>
      </c>
      <c r="F801" s="610" t="s">
        <v>379</v>
      </c>
      <c r="G801" s="610" t="s">
        <v>379</v>
      </c>
      <c r="H801" s="611" t="s">
        <v>626</v>
      </c>
    </row>
    <row r="802" spans="1:8" ht="31.5">
      <c r="A802" s="608" t="s">
        <v>315</v>
      </c>
      <c r="B802" s="612" t="s">
        <v>628</v>
      </c>
      <c r="C802" s="610" t="s">
        <v>379</v>
      </c>
      <c r="D802" s="610" t="s">
        <v>379</v>
      </c>
      <c r="E802" s="610" t="s">
        <v>379</v>
      </c>
      <c r="F802" s="610" t="s">
        <v>379</v>
      </c>
      <c r="G802" s="610" t="s">
        <v>379</v>
      </c>
      <c r="H802" s="611" t="s">
        <v>626</v>
      </c>
    </row>
    <row r="803" spans="1:8" ht="47.25">
      <c r="A803" s="608" t="s">
        <v>317</v>
      </c>
      <c r="B803" s="612" t="s">
        <v>629</v>
      </c>
      <c r="C803" s="610" t="s">
        <v>379</v>
      </c>
      <c r="D803" s="610" t="s">
        <v>379</v>
      </c>
      <c r="E803" s="610" t="s">
        <v>379</v>
      </c>
      <c r="F803" s="610" t="s">
        <v>379</v>
      </c>
      <c r="G803" s="610" t="s">
        <v>379</v>
      </c>
      <c r="H803" s="611" t="s">
        <v>626</v>
      </c>
    </row>
    <row r="804" spans="1:8" ht="15.75">
      <c r="A804" s="608" t="s">
        <v>630</v>
      </c>
      <c r="B804" s="613" t="s">
        <v>631</v>
      </c>
      <c r="C804" s="610" t="s">
        <v>379</v>
      </c>
      <c r="D804" s="610" t="s">
        <v>379</v>
      </c>
      <c r="E804" s="610" t="s">
        <v>379</v>
      </c>
      <c r="F804" s="610" t="s">
        <v>379</v>
      </c>
      <c r="G804" s="610" t="s">
        <v>379</v>
      </c>
      <c r="H804" s="611" t="s">
        <v>626</v>
      </c>
    </row>
    <row r="805" spans="1:8" ht="15.75">
      <c r="A805" s="608" t="s">
        <v>632</v>
      </c>
      <c r="B805" s="613" t="s">
        <v>633</v>
      </c>
      <c r="C805" s="610" t="s">
        <v>379</v>
      </c>
      <c r="D805" s="610" t="s">
        <v>379</v>
      </c>
      <c r="E805" s="610" t="s">
        <v>379</v>
      </c>
      <c r="F805" s="610" t="s">
        <v>379</v>
      </c>
      <c r="G805" s="610" t="s">
        <v>379</v>
      </c>
      <c r="H805" s="611" t="s">
        <v>626</v>
      </c>
    </row>
    <row r="806" spans="1:8" ht="12.75" customHeight="1">
      <c r="A806" s="608">
        <v>2</v>
      </c>
      <c r="B806" s="706" t="s">
        <v>634</v>
      </c>
      <c r="C806" s="706"/>
      <c r="D806" s="706"/>
      <c r="E806" s="706"/>
      <c r="F806" s="706"/>
      <c r="G806" s="706"/>
      <c r="H806" s="706"/>
    </row>
    <row r="807" spans="1:8" ht="31.5">
      <c r="A807" s="608" t="s">
        <v>321</v>
      </c>
      <c r="B807" s="612" t="s">
        <v>635</v>
      </c>
      <c r="C807" s="610" t="s">
        <v>636</v>
      </c>
      <c r="D807" s="610" t="s">
        <v>670</v>
      </c>
      <c r="E807" s="610" t="s">
        <v>379</v>
      </c>
      <c r="F807" s="610" t="s">
        <v>379</v>
      </c>
      <c r="G807" s="614">
        <v>0</v>
      </c>
      <c r="H807" s="611"/>
    </row>
    <row r="808" spans="1:8" ht="47.25">
      <c r="A808" s="608" t="s">
        <v>325</v>
      </c>
      <c r="B808" s="612" t="s">
        <v>638</v>
      </c>
      <c r="C808" s="610" t="s">
        <v>379</v>
      </c>
      <c r="D808" s="610" t="s">
        <v>379</v>
      </c>
      <c r="E808" s="610" t="s">
        <v>379</v>
      </c>
      <c r="F808" s="610" t="s">
        <v>379</v>
      </c>
      <c r="G808" s="610" t="s">
        <v>379</v>
      </c>
      <c r="H808" s="611" t="s">
        <v>626</v>
      </c>
    </row>
    <row r="809" spans="1:8" ht="31.5">
      <c r="A809" s="608" t="s">
        <v>639</v>
      </c>
      <c r="B809" s="612" t="s">
        <v>640</v>
      </c>
      <c r="C809" s="610" t="s">
        <v>379</v>
      </c>
      <c r="D809" s="610" t="s">
        <v>379</v>
      </c>
      <c r="E809" s="610" t="s">
        <v>379</v>
      </c>
      <c r="F809" s="610" t="s">
        <v>379</v>
      </c>
      <c r="G809" s="610" t="s">
        <v>379</v>
      </c>
      <c r="H809" s="611" t="s">
        <v>626</v>
      </c>
    </row>
    <row r="810" spans="1:8" ht="12.75" customHeight="1">
      <c r="A810" s="608">
        <v>3</v>
      </c>
      <c r="B810" s="706" t="s">
        <v>674</v>
      </c>
      <c r="C810" s="706"/>
      <c r="D810" s="706"/>
      <c r="E810" s="706"/>
      <c r="F810" s="706"/>
      <c r="G810" s="706"/>
      <c r="H810" s="706"/>
    </row>
    <row r="811" spans="1:8" ht="31.5">
      <c r="A811" s="608" t="s">
        <v>378</v>
      </c>
      <c r="B811" s="613" t="s">
        <v>642</v>
      </c>
      <c r="C811" s="610" t="s">
        <v>379</v>
      </c>
      <c r="D811" s="610" t="s">
        <v>379</v>
      </c>
      <c r="E811" s="610" t="s">
        <v>379</v>
      </c>
      <c r="F811" s="610" t="s">
        <v>379</v>
      </c>
      <c r="G811" s="610" t="s">
        <v>379</v>
      </c>
      <c r="H811" s="611" t="s">
        <v>626</v>
      </c>
    </row>
    <row r="812" spans="1:8" ht="15.75">
      <c r="A812" s="608" t="s">
        <v>643</v>
      </c>
      <c r="B812" s="613" t="s">
        <v>644</v>
      </c>
      <c r="C812" s="610" t="s">
        <v>636</v>
      </c>
      <c r="D812" s="610" t="s">
        <v>671</v>
      </c>
      <c r="E812" s="610" t="s">
        <v>379</v>
      </c>
      <c r="F812" s="610" t="s">
        <v>379</v>
      </c>
      <c r="G812" s="614">
        <v>0</v>
      </c>
      <c r="H812" s="611"/>
    </row>
    <row r="813" spans="1:8" ht="15.75">
      <c r="A813" s="608" t="s">
        <v>380</v>
      </c>
      <c r="B813" s="613" t="s">
        <v>646</v>
      </c>
      <c r="C813" s="610" t="s">
        <v>647</v>
      </c>
      <c r="D813" s="610" t="s">
        <v>651</v>
      </c>
      <c r="E813" s="610" t="s">
        <v>379</v>
      </c>
      <c r="F813" s="610" t="s">
        <v>379</v>
      </c>
      <c r="G813" s="614">
        <v>0</v>
      </c>
      <c r="H813" s="611"/>
    </row>
    <row r="814" spans="1:8" ht="15.75">
      <c r="A814" s="608" t="s">
        <v>649</v>
      </c>
      <c r="B814" s="613" t="s">
        <v>650</v>
      </c>
      <c r="C814" s="610" t="s">
        <v>651</v>
      </c>
      <c r="D814" s="610" t="s">
        <v>672</v>
      </c>
      <c r="E814" s="610" t="s">
        <v>379</v>
      </c>
      <c r="F814" s="610" t="s">
        <v>379</v>
      </c>
      <c r="G814" s="614">
        <v>0</v>
      </c>
      <c r="H814" s="611"/>
    </row>
    <row r="815" spans="1:8" ht="15.75">
      <c r="A815" s="608" t="s">
        <v>653</v>
      </c>
      <c r="B815" s="613" t="s">
        <v>654</v>
      </c>
      <c r="C815" s="610" t="s">
        <v>672</v>
      </c>
      <c r="D815" s="610" t="s">
        <v>670</v>
      </c>
      <c r="E815" s="610" t="s">
        <v>379</v>
      </c>
      <c r="F815" s="610" t="s">
        <v>379</v>
      </c>
      <c r="G815" s="614">
        <v>0</v>
      </c>
      <c r="H815" s="611"/>
    </row>
    <row r="816" spans="1:8" ht="12.75" customHeight="1">
      <c r="A816" s="608">
        <v>4</v>
      </c>
      <c r="B816" s="706" t="s">
        <v>656</v>
      </c>
      <c r="C816" s="706"/>
      <c r="D816" s="706"/>
      <c r="E816" s="706"/>
      <c r="F816" s="706"/>
      <c r="G816" s="706"/>
      <c r="H816" s="706"/>
    </row>
    <row r="817" spans="1:8" ht="31.5">
      <c r="A817" s="608" t="s">
        <v>657</v>
      </c>
      <c r="B817" s="612" t="s">
        <v>658</v>
      </c>
      <c r="C817" s="610" t="s">
        <v>379</v>
      </c>
      <c r="D817" s="610" t="s">
        <v>379</v>
      </c>
      <c r="E817" s="610" t="s">
        <v>379</v>
      </c>
      <c r="F817" s="610" t="s">
        <v>379</v>
      </c>
      <c r="G817" s="610" t="s">
        <v>379</v>
      </c>
      <c r="H817" s="611" t="s">
        <v>626</v>
      </c>
    </row>
    <row r="818" spans="1:8" ht="47.25">
      <c r="A818" s="608" t="s">
        <v>659</v>
      </c>
      <c r="B818" s="612" t="s">
        <v>660</v>
      </c>
      <c r="C818" s="610" t="s">
        <v>379</v>
      </c>
      <c r="D818" s="610" t="s">
        <v>379</v>
      </c>
      <c r="E818" s="610" t="s">
        <v>379</v>
      </c>
      <c r="F818" s="610" t="s">
        <v>379</v>
      </c>
      <c r="G818" s="610" t="s">
        <v>379</v>
      </c>
      <c r="H818" s="611" t="s">
        <v>626</v>
      </c>
    </row>
    <row r="819" spans="1:8" ht="31.5">
      <c r="A819" s="608" t="s">
        <v>661</v>
      </c>
      <c r="B819" s="613" t="s">
        <v>662</v>
      </c>
      <c r="C819" s="610" t="s">
        <v>379</v>
      </c>
      <c r="D819" s="610" t="s">
        <v>379</v>
      </c>
      <c r="E819" s="610" t="s">
        <v>379</v>
      </c>
      <c r="F819" s="610" t="s">
        <v>379</v>
      </c>
      <c r="G819" s="610" t="s">
        <v>379</v>
      </c>
      <c r="H819" s="611" t="s">
        <v>626</v>
      </c>
    </row>
    <row r="820" spans="1:8" ht="31.5">
      <c r="A820" s="615" t="s">
        <v>663</v>
      </c>
      <c r="B820" s="616" t="s">
        <v>664</v>
      </c>
      <c r="C820" s="617" t="s">
        <v>379</v>
      </c>
      <c r="D820" s="617" t="s">
        <v>379</v>
      </c>
      <c r="E820" s="617" t="s">
        <v>379</v>
      </c>
      <c r="F820" s="617" t="s">
        <v>379</v>
      </c>
      <c r="G820" s="617" t="s">
        <v>379</v>
      </c>
      <c r="H820" s="618" t="s">
        <v>626</v>
      </c>
    </row>
    <row r="821" spans="1:8" ht="15.75">
      <c r="A821" s="619"/>
      <c r="B821" s="620"/>
      <c r="C821" s="621"/>
      <c r="D821" s="621"/>
      <c r="E821" s="621"/>
      <c r="F821" s="621"/>
      <c r="G821" s="621"/>
      <c r="H821" s="148"/>
    </row>
    <row r="822" spans="1:8" ht="12.75" customHeight="1">
      <c r="A822" s="707" t="s">
        <v>665</v>
      </c>
      <c r="B822" s="707"/>
      <c r="C822" s="707"/>
      <c r="D822" s="707"/>
      <c r="E822" s="707"/>
      <c r="F822" s="707"/>
      <c r="G822" s="707"/>
      <c r="H822" s="707"/>
    </row>
    <row r="825" ht="15.75">
      <c r="H825" s="11" t="s">
        <v>609</v>
      </c>
    </row>
    <row r="826" ht="15.75">
      <c r="H826" s="11" t="s">
        <v>610</v>
      </c>
    </row>
    <row r="827" ht="15.75">
      <c r="H827" s="11" t="s">
        <v>611</v>
      </c>
    </row>
    <row r="828" ht="15.75">
      <c r="H828" s="11"/>
    </row>
    <row r="829" spans="1:8" ht="12.75" customHeight="1">
      <c r="A829" s="713" t="s">
        <v>612</v>
      </c>
      <c r="B829" s="713"/>
      <c r="C829" s="713"/>
      <c r="D829" s="713"/>
      <c r="E829" s="713"/>
      <c r="F829" s="713"/>
      <c r="G829" s="713"/>
      <c r="H829" s="713"/>
    </row>
    <row r="830" spans="1:8" ht="12.75" customHeight="1">
      <c r="A830" s="713" t="s">
        <v>613</v>
      </c>
      <c r="B830" s="713"/>
      <c r="C830" s="713"/>
      <c r="D830" s="713"/>
      <c r="E830" s="713"/>
      <c r="F830" s="713"/>
      <c r="G830" s="713"/>
      <c r="H830" s="713"/>
    </row>
    <row r="831" ht="15.75">
      <c r="H831" s="11" t="s">
        <v>43</v>
      </c>
    </row>
    <row r="832" ht="15.75">
      <c r="H832" s="11" t="s">
        <v>44</v>
      </c>
    </row>
    <row r="833" ht="15.75">
      <c r="H833" s="11" t="s">
        <v>45</v>
      </c>
    </row>
    <row r="834" ht="15.75">
      <c r="H834" s="594" t="s">
        <v>614</v>
      </c>
    </row>
    <row r="835" ht="15.75">
      <c r="H835" s="11" t="s">
        <v>615</v>
      </c>
    </row>
    <row r="836" ht="15.75">
      <c r="H836" s="11" t="s">
        <v>47</v>
      </c>
    </row>
    <row r="837" ht="15.75">
      <c r="A837" s="595"/>
    </row>
    <row r="838" ht="15.75">
      <c r="A838" s="3" t="s">
        <v>709</v>
      </c>
    </row>
    <row r="839" spans="1:8" ht="12.75" customHeight="1">
      <c r="A839" s="717" t="s">
        <v>0</v>
      </c>
      <c r="B839" s="714"/>
      <c r="C839" s="714"/>
      <c r="D839" s="714"/>
      <c r="E839" s="714"/>
      <c r="F839" s="714"/>
      <c r="G839" s="714"/>
      <c r="H839" s="714"/>
    </row>
    <row r="840" spans="1:8" ht="16.5" thickBot="1">
      <c r="A840" s="597"/>
      <c r="B840" s="597"/>
      <c r="C840" s="598"/>
      <c r="D840" s="598"/>
      <c r="E840" s="598"/>
      <c r="F840" s="598"/>
      <c r="G840" s="598"/>
      <c r="H840" s="598"/>
    </row>
    <row r="841" spans="1:8" ht="12.75" customHeight="1">
      <c r="A841" s="708" t="s">
        <v>617</v>
      </c>
      <c r="B841" s="710" t="s">
        <v>618</v>
      </c>
      <c r="C841" s="711" t="s">
        <v>619</v>
      </c>
      <c r="D841" s="711"/>
      <c r="E841" s="711"/>
      <c r="F841" s="711"/>
      <c r="G841" s="712" t="s">
        <v>620</v>
      </c>
      <c r="H841" s="708" t="s">
        <v>621</v>
      </c>
    </row>
    <row r="842" spans="1:8" ht="15.75">
      <c r="A842" s="708"/>
      <c r="B842" s="710"/>
      <c r="C842" s="711"/>
      <c r="D842" s="711"/>
      <c r="E842" s="711"/>
      <c r="F842" s="711"/>
      <c r="G842" s="712"/>
      <c r="H842" s="708"/>
    </row>
    <row r="843" spans="1:8" ht="31.5">
      <c r="A843" s="708"/>
      <c r="B843" s="710"/>
      <c r="C843" s="601" t="s">
        <v>622</v>
      </c>
      <c r="D843" s="601" t="s">
        <v>623</v>
      </c>
      <c r="E843" s="602" t="s">
        <v>622</v>
      </c>
      <c r="F843" s="603" t="s">
        <v>623</v>
      </c>
      <c r="G843" s="712"/>
      <c r="H843" s="708"/>
    </row>
    <row r="844" spans="1:8" ht="15.75">
      <c r="A844" s="599">
        <v>1</v>
      </c>
      <c r="B844" s="599">
        <v>2</v>
      </c>
      <c r="C844" s="604">
        <v>3</v>
      </c>
      <c r="D844" s="604">
        <v>4</v>
      </c>
      <c r="E844" s="605"/>
      <c r="F844" s="606"/>
      <c r="G844" s="600">
        <v>5</v>
      </c>
      <c r="H844" s="599">
        <v>6</v>
      </c>
    </row>
    <row r="845" spans="1:8" ht="12.75" customHeight="1">
      <c r="A845" s="607">
        <v>1</v>
      </c>
      <c r="B845" s="709" t="s">
        <v>624</v>
      </c>
      <c r="C845" s="709"/>
      <c r="D845" s="709"/>
      <c r="E845" s="709"/>
      <c r="F845" s="709"/>
      <c r="G845" s="709"/>
      <c r="H845" s="709"/>
    </row>
    <row r="846" spans="1:8" ht="15.75">
      <c r="A846" s="608" t="s">
        <v>74</v>
      </c>
      <c r="B846" s="609" t="s">
        <v>625</v>
      </c>
      <c r="C846" s="610" t="s">
        <v>379</v>
      </c>
      <c r="D846" s="610" t="s">
        <v>379</v>
      </c>
      <c r="E846" s="610" t="s">
        <v>379</v>
      </c>
      <c r="F846" s="610" t="s">
        <v>379</v>
      </c>
      <c r="G846" s="610" t="s">
        <v>379</v>
      </c>
      <c r="H846" s="611" t="s">
        <v>626</v>
      </c>
    </row>
    <row r="847" spans="1:8" ht="15.75">
      <c r="A847" s="608" t="s">
        <v>313</v>
      </c>
      <c r="B847" s="609" t="s">
        <v>627</v>
      </c>
      <c r="C847" s="610" t="s">
        <v>379</v>
      </c>
      <c r="D847" s="610" t="s">
        <v>379</v>
      </c>
      <c r="E847" s="610" t="s">
        <v>379</v>
      </c>
      <c r="F847" s="610" t="s">
        <v>379</v>
      </c>
      <c r="G847" s="610" t="s">
        <v>379</v>
      </c>
      <c r="H847" s="611" t="s">
        <v>626</v>
      </c>
    </row>
    <row r="848" spans="1:8" ht="31.5">
      <c r="A848" s="608" t="s">
        <v>315</v>
      </c>
      <c r="B848" s="612" t="s">
        <v>628</v>
      </c>
      <c r="C848" s="610" t="s">
        <v>379</v>
      </c>
      <c r="D848" s="610" t="s">
        <v>379</v>
      </c>
      <c r="E848" s="610" t="s">
        <v>379</v>
      </c>
      <c r="F848" s="610" t="s">
        <v>379</v>
      </c>
      <c r="G848" s="610" t="s">
        <v>379</v>
      </c>
      <c r="H848" s="611" t="s">
        <v>626</v>
      </c>
    </row>
    <row r="849" spans="1:8" ht="47.25">
      <c r="A849" s="608" t="s">
        <v>317</v>
      </c>
      <c r="B849" s="612" t="s">
        <v>629</v>
      </c>
      <c r="C849" s="610" t="s">
        <v>379</v>
      </c>
      <c r="D849" s="610" t="s">
        <v>379</v>
      </c>
      <c r="E849" s="610" t="s">
        <v>379</v>
      </c>
      <c r="F849" s="610" t="s">
        <v>379</v>
      </c>
      <c r="G849" s="610" t="s">
        <v>379</v>
      </c>
      <c r="H849" s="611" t="s">
        <v>626</v>
      </c>
    </row>
    <row r="850" spans="1:8" ht="15.75">
      <c r="A850" s="608" t="s">
        <v>630</v>
      </c>
      <c r="B850" s="613" t="s">
        <v>631</v>
      </c>
      <c r="C850" s="610" t="s">
        <v>379</v>
      </c>
      <c r="D850" s="610" t="s">
        <v>379</v>
      </c>
      <c r="E850" s="610" t="s">
        <v>379</v>
      </c>
      <c r="F850" s="610" t="s">
        <v>379</v>
      </c>
      <c r="G850" s="610" t="s">
        <v>379</v>
      </c>
      <c r="H850" s="611" t="s">
        <v>626</v>
      </c>
    </row>
    <row r="851" spans="1:8" ht="15.75">
      <c r="A851" s="608" t="s">
        <v>632</v>
      </c>
      <c r="B851" s="613" t="s">
        <v>633</v>
      </c>
      <c r="C851" s="610" t="s">
        <v>379</v>
      </c>
      <c r="D851" s="610" t="s">
        <v>379</v>
      </c>
      <c r="E851" s="610" t="s">
        <v>379</v>
      </c>
      <c r="F851" s="610" t="s">
        <v>379</v>
      </c>
      <c r="G851" s="610" t="s">
        <v>379</v>
      </c>
      <c r="H851" s="611" t="s">
        <v>626</v>
      </c>
    </row>
    <row r="852" spans="1:8" ht="12.75" customHeight="1">
      <c r="A852" s="608">
        <v>2</v>
      </c>
      <c r="B852" s="706" t="s">
        <v>634</v>
      </c>
      <c r="C852" s="706"/>
      <c r="D852" s="706"/>
      <c r="E852" s="706"/>
      <c r="F852" s="706"/>
      <c r="G852" s="706"/>
      <c r="H852" s="706"/>
    </row>
    <row r="853" spans="1:8" ht="31.5">
      <c r="A853" s="608" t="s">
        <v>321</v>
      </c>
      <c r="B853" s="612" t="s">
        <v>635</v>
      </c>
      <c r="C853" s="610" t="s">
        <v>710</v>
      </c>
      <c r="D853" s="610" t="s">
        <v>711</v>
      </c>
      <c r="E853" s="610" t="s">
        <v>379</v>
      </c>
      <c r="F853" s="610" t="s">
        <v>379</v>
      </c>
      <c r="G853" s="614">
        <v>0</v>
      </c>
      <c r="H853" s="611"/>
    </row>
    <row r="854" spans="1:8" ht="47.25">
      <c r="A854" s="608" t="s">
        <v>325</v>
      </c>
      <c r="B854" s="612" t="s">
        <v>638</v>
      </c>
      <c r="C854" s="610" t="s">
        <v>379</v>
      </c>
      <c r="D854" s="610" t="s">
        <v>379</v>
      </c>
      <c r="E854" s="610" t="s">
        <v>379</v>
      </c>
      <c r="F854" s="610" t="s">
        <v>379</v>
      </c>
      <c r="G854" s="610" t="s">
        <v>379</v>
      </c>
      <c r="H854" s="611" t="s">
        <v>626</v>
      </c>
    </row>
    <row r="855" spans="1:8" ht="31.5">
      <c r="A855" s="608" t="s">
        <v>639</v>
      </c>
      <c r="B855" s="612" t="s">
        <v>640</v>
      </c>
      <c r="C855" s="610" t="s">
        <v>379</v>
      </c>
      <c r="D855" s="610" t="s">
        <v>379</v>
      </c>
      <c r="E855" s="610" t="s">
        <v>379</v>
      </c>
      <c r="F855" s="610" t="s">
        <v>379</v>
      </c>
      <c r="G855" s="610" t="s">
        <v>379</v>
      </c>
      <c r="H855" s="611" t="s">
        <v>626</v>
      </c>
    </row>
    <row r="856" spans="1:8" ht="12.75" customHeight="1">
      <c r="A856" s="608">
        <v>3</v>
      </c>
      <c r="B856" s="706" t="s">
        <v>674</v>
      </c>
      <c r="C856" s="706"/>
      <c r="D856" s="706"/>
      <c r="E856" s="706"/>
      <c r="F856" s="706"/>
      <c r="G856" s="706"/>
      <c r="H856" s="706"/>
    </row>
    <row r="857" spans="1:8" ht="31.5">
      <c r="A857" s="608" t="s">
        <v>378</v>
      </c>
      <c r="B857" s="613" t="s">
        <v>642</v>
      </c>
      <c r="C857" s="610" t="s">
        <v>379</v>
      </c>
      <c r="D857" s="610" t="s">
        <v>379</v>
      </c>
      <c r="E857" s="610" t="s">
        <v>379</v>
      </c>
      <c r="F857" s="610" t="s">
        <v>379</v>
      </c>
      <c r="G857" s="610" t="s">
        <v>379</v>
      </c>
      <c r="H857" s="611" t="s">
        <v>626</v>
      </c>
    </row>
    <row r="858" spans="1:8" ht="15.75">
      <c r="A858" s="608" t="s">
        <v>643</v>
      </c>
      <c r="B858" s="613" t="s">
        <v>644</v>
      </c>
      <c r="C858" s="610" t="s">
        <v>710</v>
      </c>
      <c r="D858" s="610" t="s">
        <v>712</v>
      </c>
      <c r="E858" s="610" t="s">
        <v>379</v>
      </c>
      <c r="F858" s="610" t="s">
        <v>379</v>
      </c>
      <c r="G858" s="614">
        <v>0</v>
      </c>
      <c r="H858" s="611"/>
    </row>
    <row r="859" spans="1:8" ht="15.75">
      <c r="A859" s="608" t="s">
        <v>380</v>
      </c>
      <c r="B859" s="613" t="s">
        <v>646</v>
      </c>
      <c r="C859" s="610" t="s">
        <v>713</v>
      </c>
      <c r="D859" s="610" t="s">
        <v>714</v>
      </c>
      <c r="E859" s="610" t="s">
        <v>379</v>
      </c>
      <c r="F859" s="610" t="s">
        <v>379</v>
      </c>
      <c r="G859" s="614">
        <v>0</v>
      </c>
      <c r="H859" s="611"/>
    </row>
    <row r="860" spans="1:8" ht="15.75">
      <c r="A860" s="608" t="s">
        <v>649</v>
      </c>
      <c r="B860" s="613" t="s">
        <v>650</v>
      </c>
      <c r="C860" s="610" t="s">
        <v>715</v>
      </c>
      <c r="D860" s="610" t="s">
        <v>716</v>
      </c>
      <c r="E860" s="610" t="s">
        <v>379</v>
      </c>
      <c r="F860" s="610" t="s">
        <v>379</v>
      </c>
      <c r="G860" s="614">
        <v>0</v>
      </c>
      <c r="H860" s="611"/>
    </row>
    <row r="861" spans="1:8" ht="15.75">
      <c r="A861" s="608" t="s">
        <v>653</v>
      </c>
      <c r="B861" s="613" t="s">
        <v>654</v>
      </c>
      <c r="C861" s="610" t="s">
        <v>717</v>
      </c>
      <c r="D861" s="610" t="s">
        <v>711</v>
      </c>
      <c r="E861" s="610" t="s">
        <v>379</v>
      </c>
      <c r="F861" s="610" t="s">
        <v>379</v>
      </c>
      <c r="G861" s="614">
        <v>0</v>
      </c>
      <c r="H861" s="611"/>
    </row>
    <row r="862" spans="1:8" ht="12.75" customHeight="1">
      <c r="A862" s="608">
        <v>4</v>
      </c>
      <c r="B862" s="706" t="s">
        <v>656</v>
      </c>
      <c r="C862" s="706"/>
      <c r="D862" s="706"/>
      <c r="E862" s="706"/>
      <c r="F862" s="706"/>
      <c r="G862" s="706"/>
      <c r="H862" s="706"/>
    </row>
    <row r="863" spans="1:8" ht="31.5">
      <c r="A863" s="608" t="s">
        <v>657</v>
      </c>
      <c r="B863" s="612" t="s">
        <v>658</v>
      </c>
      <c r="C863" s="610" t="s">
        <v>379</v>
      </c>
      <c r="D863" s="610" t="s">
        <v>379</v>
      </c>
      <c r="E863" s="610" t="s">
        <v>379</v>
      </c>
      <c r="F863" s="610" t="s">
        <v>379</v>
      </c>
      <c r="G863" s="610" t="s">
        <v>379</v>
      </c>
      <c r="H863" s="611" t="s">
        <v>626</v>
      </c>
    </row>
    <row r="864" spans="1:8" ht="47.25">
      <c r="A864" s="608" t="s">
        <v>659</v>
      </c>
      <c r="B864" s="612" t="s">
        <v>660</v>
      </c>
      <c r="C864" s="610" t="s">
        <v>379</v>
      </c>
      <c r="D864" s="610" t="s">
        <v>379</v>
      </c>
      <c r="E864" s="610" t="s">
        <v>379</v>
      </c>
      <c r="F864" s="610" t="s">
        <v>379</v>
      </c>
      <c r="G864" s="610" t="s">
        <v>379</v>
      </c>
      <c r="H864" s="611" t="s">
        <v>626</v>
      </c>
    </row>
    <row r="865" spans="1:8" ht="31.5">
      <c r="A865" s="608" t="s">
        <v>661</v>
      </c>
      <c r="B865" s="613" t="s">
        <v>662</v>
      </c>
      <c r="C865" s="610" t="s">
        <v>379</v>
      </c>
      <c r="D865" s="610" t="s">
        <v>379</v>
      </c>
      <c r="E865" s="610" t="s">
        <v>379</v>
      </c>
      <c r="F865" s="610" t="s">
        <v>379</v>
      </c>
      <c r="G865" s="610" t="s">
        <v>379</v>
      </c>
      <c r="H865" s="611" t="s">
        <v>626</v>
      </c>
    </row>
    <row r="866" spans="1:8" ht="31.5">
      <c r="A866" s="615" t="s">
        <v>663</v>
      </c>
      <c r="B866" s="616" t="s">
        <v>664</v>
      </c>
      <c r="C866" s="617" t="s">
        <v>379</v>
      </c>
      <c r="D866" s="617" t="s">
        <v>379</v>
      </c>
      <c r="E866" s="617" t="s">
        <v>379</v>
      </c>
      <c r="F866" s="617" t="s">
        <v>379</v>
      </c>
      <c r="G866" s="617" t="s">
        <v>379</v>
      </c>
      <c r="H866" s="618" t="s">
        <v>626</v>
      </c>
    </row>
    <row r="867" spans="1:8" ht="15.75">
      <c r="A867" s="619"/>
      <c r="B867" s="620"/>
      <c r="C867" s="621"/>
      <c r="D867" s="621"/>
      <c r="E867" s="621"/>
      <c r="F867" s="621"/>
      <c r="G867" s="621"/>
      <c r="H867" s="148"/>
    </row>
    <row r="868" spans="1:8" ht="12.75" customHeight="1">
      <c r="A868" s="707" t="s">
        <v>665</v>
      </c>
      <c r="B868" s="707"/>
      <c r="C868" s="707"/>
      <c r="D868" s="707"/>
      <c r="E868" s="707"/>
      <c r="F868" s="707"/>
      <c r="G868" s="707"/>
      <c r="H868" s="707"/>
    </row>
    <row r="871" ht="15.75">
      <c r="H871" s="11" t="s">
        <v>609</v>
      </c>
    </row>
    <row r="872" ht="15.75">
      <c r="H872" s="11" t="s">
        <v>610</v>
      </c>
    </row>
    <row r="873" ht="15.75">
      <c r="H873" s="11" t="s">
        <v>611</v>
      </c>
    </row>
    <row r="874" ht="15.75">
      <c r="H874" s="11"/>
    </row>
    <row r="875" spans="1:8" ht="12.75" customHeight="1">
      <c r="A875" s="713" t="s">
        <v>612</v>
      </c>
      <c r="B875" s="713"/>
      <c r="C875" s="713"/>
      <c r="D875" s="713"/>
      <c r="E875" s="713"/>
      <c r="F875" s="713"/>
      <c r="G875" s="713"/>
      <c r="H875" s="713"/>
    </row>
    <row r="876" spans="1:8" ht="12.75" customHeight="1">
      <c r="A876" s="713" t="s">
        <v>613</v>
      </c>
      <c r="B876" s="713"/>
      <c r="C876" s="713"/>
      <c r="D876" s="713"/>
      <c r="E876" s="713"/>
      <c r="F876" s="713"/>
      <c r="G876" s="713"/>
      <c r="H876" s="713"/>
    </row>
    <row r="877" ht="15.75">
      <c r="H877" s="11" t="s">
        <v>43</v>
      </c>
    </row>
    <row r="878" ht="15.75">
      <c r="H878" s="11" t="s">
        <v>44</v>
      </c>
    </row>
    <row r="879" ht="15.75">
      <c r="H879" s="11" t="s">
        <v>45</v>
      </c>
    </row>
    <row r="880" ht="15.75">
      <c r="H880" s="594" t="s">
        <v>614</v>
      </c>
    </row>
    <row r="881" ht="15.75">
      <c r="H881" s="11" t="s">
        <v>615</v>
      </c>
    </row>
    <row r="882" ht="15.75">
      <c r="H882" s="11" t="s">
        <v>47</v>
      </c>
    </row>
    <row r="883" ht="15.75">
      <c r="A883" s="595"/>
    </row>
    <row r="884" ht="15.75">
      <c r="A884" s="3" t="s">
        <v>718</v>
      </c>
    </row>
    <row r="885" spans="1:8" ht="12.75" customHeight="1">
      <c r="A885" s="717" t="s">
        <v>0</v>
      </c>
      <c r="B885" s="714"/>
      <c r="C885" s="714"/>
      <c r="D885" s="714"/>
      <c r="E885" s="714"/>
      <c r="F885" s="714"/>
      <c r="G885" s="714"/>
      <c r="H885" s="714"/>
    </row>
    <row r="886" spans="1:8" ht="16.5" thickBot="1">
      <c r="A886" s="597"/>
      <c r="B886" s="597"/>
      <c r="C886" s="598"/>
      <c r="D886" s="598"/>
      <c r="E886" s="598"/>
      <c r="F886" s="598"/>
      <c r="G886" s="598"/>
      <c r="H886" s="598"/>
    </row>
    <row r="887" spans="1:8" ht="12.75" customHeight="1">
      <c r="A887" s="708" t="s">
        <v>617</v>
      </c>
      <c r="B887" s="710" t="s">
        <v>618</v>
      </c>
      <c r="C887" s="711" t="s">
        <v>619</v>
      </c>
      <c r="D887" s="711"/>
      <c r="E887" s="711"/>
      <c r="F887" s="711"/>
      <c r="G887" s="712" t="s">
        <v>620</v>
      </c>
      <c r="H887" s="708" t="s">
        <v>621</v>
      </c>
    </row>
    <row r="888" spans="1:8" ht="15.75">
      <c r="A888" s="708"/>
      <c r="B888" s="710"/>
      <c r="C888" s="711"/>
      <c r="D888" s="711"/>
      <c r="E888" s="711"/>
      <c r="F888" s="711"/>
      <c r="G888" s="712"/>
      <c r="H888" s="708"/>
    </row>
    <row r="889" spans="1:8" ht="31.5">
      <c r="A889" s="708"/>
      <c r="B889" s="710"/>
      <c r="C889" s="601" t="s">
        <v>622</v>
      </c>
      <c r="D889" s="601" t="s">
        <v>623</v>
      </c>
      <c r="E889" s="602" t="s">
        <v>622</v>
      </c>
      <c r="F889" s="603" t="s">
        <v>623</v>
      </c>
      <c r="G889" s="712"/>
      <c r="H889" s="708"/>
    </row>
    <row r="890" spans="1:8" ht="15.75">
      <c r="A890" s="599">
        <v>1</v>
      </c>
      <c r="B890" s="599">
        <v>2</v>
      </c>
      <c r="C890" s="604">
        <v>3</v>
      </c>
      <c r="D890" s="604">
        <v>4</v>
      </c>
      <c r="E890" s="605"/>
      <c r="F890" s="606"/>
      <c r="G890" s="600">
        <v>5</v>
      </c>
      <c r="H890" s="599">
        <v>6</v>
      </c>
    </row>
    <row r="891" spans="1:8" ht="12.75" customHeight="1">
      <c r="A891" s="607">
        <v>1</v>
      </c>
      <c r="B891" s="709" t="s">
        <v>624</v>
      </c>
      <c r="C891" s="709"/>
      <c r="D891" s="709"/>
      <c r="E891" s="709"/>
      <c r="F891" s="709"/>
      <c r="G891" s="709"/>
      <c r="H891" s="709"/>
    </row>
    <row r="892" spans="1:8" ht="15.75">
      <c r="A892" s="608" t="s">
        <v>74</v>
      </c>
      <c r="B892" s="609" t="s">
        <v>625</v>
      </c>
      <c r="C892" s="610" t="s">
        <v>379</v>
      </c>
      <c r="D892" s="610" t="s">
        <v>379</v>
      </c>
      <c r="E892" s="610" t="s">
        <v>379</v>
      </c>
      <c r="F892" s="610" t="s">
        <v>379</v>
      </c>
      <c r="G892" s="610" t="s">
        <v>379</v>
      </c>
      <c r="H892" s="611" t="s">
        <v>626</v>
      </c>
    </row>
    <row r="893" spans="1:8" ht="15.75">
      <c r="A893" s="608" t="s">
        <v>313</v>
      </c>
      <c r="B893" s="609" t="s">
        <v>627</v>
      </c>
      <c r="C893" s="610" t="s">
        <v>379</v>
      </c>
      <c r="D893" s="610" t="s">
        <v>379</v>
      </c>
      <c r="E893" s="610" t="s">
        <v>379</v>
      </c>
      <c r="F893" s="610" t="s">
        <v>379</v>
      </c>
      <c r="G893" s="610" t="s">
        <v>379</v>
      </c>
      <c r="H893" s="611" t="s">
        <v>626</v>
      </c>
    </row>
    <row r="894" spans="1:8" ht="31.5">
      <c r="A894" s="608" t="s">
        <v>315</v>
      </c>
      <c r="B894" s="612" t="s">
        <v>628</v>
      </c>
      <c r="C894" s="610" t="s">
        <v>379</v>
      </c>
      <c r="D894" s="610" t="s">
        <v>379</v>
      </c>
      <c r="E894" s="610" t="s">
        <v>379</v>
      </c>
      <c r="F894" s="610" t="s">
        <v>379</v>
      </c>
      <c r="G894" s="610" t="s">
        <v>379</v>
      </c>
      <c r="H894" s="611" t="s">
        <v>626</v>
      </c>
    </row>
    <row r="895" spans="1:8" ht="47.25">
      <c r="A895" s="608" t="s">
        <v>317</v>
      </c>
      <c r="B895" s="612" t="s">
        <v>629</v>
      </c>
      <c r="C895" s="610" t="s">
        <v>379</v>
      </c>
      <c r="D895" s="610" t="s">
        <v>379</v>
      </c>
      <c r="E895" s="610" t="s">
        <v>379</v>
      </c>
      <c r="F895" s="610" t="s">
        <v>379</v>
      </c>
      <c r="G895" s="610" t="s">
        <v>379</v>
      </c>
      <c r="H895" s="611" t="s">
        <v>626</v>
      </c>
    </row>
    <row r="896" spans="1:8" ht="15.75">
      <c r="A896" s="608" t="s">
        <v>630</v>
      </c>
      <c r="B896" s="613" t="s">
        <v>631</v>
      </c>
      <c r="C896" s="610" t="s">
        <v>379</v>
      </c>
      <c r="D896" s="610" t="s">
        <v>379</v>
      </c>
      <c r="E896" s="610" t="s">
        <v>379</v>
      </c>
      <c r="F896" s="610" t="s">
        <v>379</v>
      </c>
      <c r="G896" s="610" t="s">
        <v>379</v>
      </c>
      <c r="H896" s="611" t="s">
        <v>626</v>
      </c>
    </row>
    <row r="897" spans="1:8" ht="15.75">
      <c r="A897" s="608" t="s">
        <v>632</v>
      </c>
      <c r="B897" s="613" t="s">
        <v>633</v>
      </c>
      <c r="C897" s="610" t="s">
        <v>379</v>
      </c>
      <c r="D897" s="610" t="s">
        <v>379</v>
      </c>
      <c r="E897" s="610" t="s">
        <v>379</v>
      </c>
      <c r="F897" s="610" t="s">
        <v>379</v>
      </c>
      <c r="G897" s="610" t="s">
        <v>379</v>
      </c>
      <c r="H897" s="611" t="s">
        <v>626</v>
      </c>
    </row>
    <row r="898" spans="1:8" ht="12.75" customHeight="1">
      <c r="A898" s="608">
        <v>2</v>
      </c>
      <c r="B898" s="706" t="s">
        <v>634</v>
      </c>
      <c r="C898" s="706"/>
      <c r="D898" s="706"/>
      <c r="E898" s="706"/>
      <c r="F898" s="706"/>
      <c r="G898" s="706"/>
      <c r="H898" s="706"/>
    </row>
    <row r="899" spans="1:8" ht="31.5">
      <c r="A899" s="608" t="s">
        <v>321</v>
      </c>
      <c r="B899" s="612" t="s">
        <v>635</v>
      </c>
      <c r="C899" s="610" t="s">
        <v>710</v>
      </c>
      <c r="D899" s="610" t="s">
        <v>711</v>
      </c>
      <c r="E899" s="610" t="s">
        <v>379</v>
      </c>
      <c r="F899" s="610" t="s">
        <v>379</v>
      </c>
      <c r="G899" s="614">
        <v>0</v>
      </c>
      <c r="H899" s="611"/>
    </row>
    <row r="900" spans="1:8" ht="47.25">
      <c r="A900" s="608" t="s">
        <v>325</v>
      </c>
      <c r="B900" s="612" t="s">
        <v>638</v>
      </c>
      <c r="C900" s="610" t="s">
        <v>379</v>
      </c>
      <c r="D900" s="610" t="s">
        <v>379</v>
      </c>
      <c r="E900" s="610" t="s">
        <v>379</v>
      </c>
      <c r="F900" s="610" t="s">
        <v>379</v>
      </c>
      <c r="G900" s="610" t="s">
        <v>379</v>
      </c>
      <c r="H900" s="611" t="s">
        <v>626</v>
      </c>
    </row>
    <row r="901" spans="1:8" ht="31.5">
      <c r="A901" s="608" t="s">
        <v>639</v>
      </c>
      <c r="B901" s="612" t="s">
        <v>640</v>
      </c>
      <c r="C901" s="610" t="s">
        <v>379</v>
      </c>
      <c r="D901" s="610" t="s">
        <v>379</v>
      </c>
      <c r="E901" s="610" t="s">
        <v>379</v>
      </c>
      <c r="F901" s="610" t="s">
        <v>379</v>
      </c>
      <c r="G901" s="610" t="s">
        <v>379</v>
      </c>
      <c r="H901" s="611" t="s">
        <v>626</v>
      </c>
    </row>
    <row r="902" spans="1:8" ht="12.75" customHeight="1">
      <c r="A902" s="608">
        <v>3</v>
      </c>
      <c r="B902" s="706" t="s">
        <v>674</v>
      </c>
      <c r="C902" s="706"/>
      <c r="D902" s="706"/>
      <c r="E902" s="706"/>
      <c r="F902" s="706"/>
      <c r="G902" s="706"/>
      <c r="H902" s="706"/>
    </row>
    <row r="903" spans="1:8" ht="31.5">
      <c r="A903" s="608" t="s">
        <v>378</v>
      </c>
      <c r="B903" s="613" t="s">
        <v>642</v>
      </c>
      <c r="C903" s="610" t="s">
        <v>379</v>
      </c>
      <c r="D903" s="610" t="s">
        <v>379</v>
      </c>
      <c r="E903" s="610" t="s">
        <v>379</v>
      </c>
      <c r="F903" s="610" t="s">
        <v>379</v>
      </c>
      <c r="G903" s="610" t="s">
        <v>379</v>
      </c>
      <c r="H903" s="611" t="s">
        <v>626</v>
      </c>
    </row>
    <row r="904" spans="1:8" ht="15.75">
      <c r="A904" s="608" t="s">
        <v>643</v>
      </c>
      <c r="B904" s="613" t="s">
        <v>644</v>
      </c>
      <c r="C904" s="610" t="s">
        <v>710</v>
      </c>
      <c r="D904" s="610" t="s">
        <v>712</v>
      </c>
      <c r="E904" s="610" t="s">
        <v>379</v>
      </c>
      <c r="F904" s="610" t="s">
        <v>379</v>
      </c>
      <c r="G904" s="614">
        <v>0</v>
      </c>
      <c r="H904" s="611"/>
    </row>
    <row r="905" spans="1:8" ht="15.75">
      <c r="A905" s="608" t="s">
        <v>380</v>
      </c>
      <c r="B905" s="613" t="s">
        <v>646</v>
      </c>
      <c r="C905" s="610" t="s">
        <v>713</v>
      </c>
      <c r="D905" s="610" t="s">
        <v>714</v>
      </c>
      <c r="E905" s="610" t="s">
        <v>379</v>
      </c>
      <c r="F905" s="610" t="s">
        <v>379</v>
      </c>
      <c r="G905" s="614">
        <v>0</v>
      </c>
      <c r="H905" s="611"/>
    </row>
    <row r="906" spans="1:8" ht="15.75">
      <c r="A906" s="608" t="s">
        <v>649</v>
      </c>
      <c r="B906" s="613" t="s">
        <v>650</v>
      </c>
      <c r="C906" s="610" t="s">
        <v>715</v>
      </c>
      <c r="D906" s="610" t="s">
        <v>716</v>
      </c>
      <c r="E906" s="610" t="s">
        <v>379</v>
      </c>
      <c r="F906" s="610" t="s">
        <v>379</v>
      </c>
      <c r="G906" s="614">
        <v>0</v>
      </c>
      <c r="H906" s="611"/>
    </row>
    <row r="907" spans="1:8" ht="15.75">
      <c r="A907" s="608" t="s">
        <v>653</v>
      </c>
      <c r="B907" s="613" t="s">
        <v>654</v>
      </c>
      <c r="C907" s="610" t="s">
        <v>717</v>
      </c>
      <c r="D907" s="610" t="s">
        <v>711</v>
      </c>
      <c r="E907" s="610" t="s">
        <v>379</v>
      </c>
      <c r="F907" s="610" t="s">
        <v>379</v>
      </c>
      <c r="G907" s="614">
        <v>0</v>
      </c>
      <c r="H907" s="611"/>
    </row>
    <row r="908" spans="1:8" ht="12.75" customHeight="1">
      <c r="A908" s="608">
        <v>4</v>
      </c>
      <c r="B908" s="706" t="s">
        <v>656</v>
      </c>
      <c r="C908" s="706"/>
      <c r="D908" s="706"/>
      <c r="E908" s="706"/>
      <c r="F908" s="706"/>
      <c r="G908" s="706"/>
      <c r="H908" s="706"/>
    </row>
    <row r="909" spans="1:8" ht="31.5">
      <c r="A909" s="608" t="s">
        <v>657</v>
      </c>
      <c r="B909" s="612" t="s">
        <v>658</v>
      </c>
      <c r="C909" s="610" t="s">
        <v>379</v>
      </c>
      <c r="D909" s="610" t="s">
        <v>379</v>
      </c>
      <c r="E909" s="610" t="s">
        <v>379</v>
      </c>
      <c r="F909" s="610" t="s">
        <v>379</v>
      </c>
      <c r="G909" s="610" t="s">
        <v>379</v>
      </c>
      <c r="H909" s="611" t="s">
        <v>626</v>
      </c>
    </row>
    <row r="910" spans="1:8" ht="47.25">
      <c r="A910" s="608" t="s">
        <v>659</v>
      </c>
      <c r="B910" s="612" t="s">
        <v>660</v>
      </c>
      <c r="C910" s="610" t="s">
        <v>379</v>
      </c>
      <c r="D910" s="610" t="s">
        <v>379</v>
      </c>
      <c r="E910" s="610" t="s">
        <v>379</v>
      </c>
      <c r="F910" s="610" t="s">
        <v>379</v>
      </c>
      <c r="G910" s="610" t="s">
        <v>379</v>
      </c>
      <c r="H910" s="611" t="s">
        <v>626</v>
      </c>
    </row>
    <row r="911" spans="1:8" ht="31.5">
      <c r="A911" s="608" t="s">
        <v>661</v>
      </c>
      <c r="B911" s="613" t="s">
        <v>662</v>
      </c>
      <c r="C911" s="610" t="s">
        <v>379</v>
      </c>
      <c r="D911" s="610" t="s">
        <v>379</v>
      </c>
      <c r="E911" s="610" t="s">
        <v>379</v>
      </c>
      <c r="F911" s="610" t="s">
        <v>379</v>
      </c>
      <c r="G911" s="610" t="s">
        <v>379</v>
      </c>
      <c r="H911" s="611" t="s">
        <v>626</v>
      </c>
    </row>
    <row r="912" spans="1:8" ht="31.5">
      <c r="A912" s="615" t="s">
        <v>663</v>
      </c>
      <c r="B912" s="616" t="s">
        <v>664</v>
      </c>
      <c r="C912" s="617" t="s">
        <v>379</v>
      </c>
      <c r="D912" s="617" t="s">
        <v>379</v>
      </c>
      <c r="E912" s="617" t="s">
        <v>379</v>
      </c>
      <c r="F912" s="617" t="s">
        <v>379</v>
      </c>
      <c r="G912" s="617" t="s">
        <v>379</v>
      </c>
      <c r="H912" s="618" t="s">
        <v>626</v>
      </c>
    </row>
    <row r="913" spans="1:8" ht="15.75">
      <c r="A913" s="619"/>
      <c r="B913" s="620"/>
      <c r="C913" s="621"/>
      <c r="D913" s="621"/>
      <c r="E913" s="621"/>
      <c r="F913" s="621"/>
      <c r="G913" s="621"/>
      <c r="H913" s="148"/>
    </row>
    <row r="914" spans="1:8" ht="12.75" customHeight="1">
      <c r="A914" s="707" t="s">
        <v>665</v>
      </c>
      <c r="B914" s="707"/>
      <c r="C914" s="707"/>
      <c r="D914" s="707"/>
      <c r="E914" s="707"/>
      <c r="F914" s="707"/>
      <c r="G914" s="707"/>
      <c r="H914" s="707"/>
    </row>
    <row r="917" ht="15.75">
      <c r="H917" s="11" t="s">
        <v>609</v>
      </c>
    </row>
    <row r="918" ht="15.75">
      <c r="H918" s="11" t="s">
        <v>610</v>
      </c>
    </row>
    <row r="919" ht="15.75">
      <c r="H919" s="11" t="s">
        <v>611</v>
      </c>
    </row>
    <row r="920" ht="15.75">
      <c r="H920" s="11"/>
    </row>
    <row r="921" spans="1:8" ht="12.75" customHeight="1">
      <c r="A921" s="713" t="s">
        <v>612</v>
      </c>
      <c r="B921" s="713"/>
      <c r="C921" s="713"/>
      <c r="D921" s="713"/>
      <c r="E921" s="713"/>
      <c r="F921" s="713"/>
      <c r="G921" s="713"/>
      <c r="H921" s="713"/>
    </row>
    <row r="922" spans="1:8" ht="12.75" customHeight="1">
      <c r="A922" s="713" t="s">
        <v>613</v>
      </c>
      <c r="B922" s="713"/>
      <c r="C922" s="713"/>
      <c r="D922" s="713"/>
      <c r="E922" s="713"/>
      <c r="F922" s="713"/>
      <c r="G922" s="713"/>
      <c r="H922" s="713"/>
    </row>
    <row r="923" ht="15.75">
      <c r="H923" s="11" t="s">
        <v>43</v>
      </c>
    </row>
    <row r="924" ht="15.75">
      <c r="H924" s="11" t="s">
        <v>44</v>
      </c>
    </row>
    <row r="925" ht="15.75">
      <c r="H925" s="11" t="s">
        <v>45</v>
      </c>
    </row>
    <row r="926" ht="15.75">
      <c r="H926" s="594" t="s">
        <v>614</v>
      </c>
    </row>
    <row r="927" ht="15.75">
      <c r="H927" s="11" t="s">
        <v>615</v>
      </c>
    </row>
    <row r="928" ht="15.75">
      <c r="H928" s="11" t="s">
        <v>47</v>
      </c>
    </row>
    <row r="929" ht="15.75">
      <c r="A929" s="595"/>
    </row>
    <row r="930" ht="15.75">
      <c r="A930" s="3" t="s">
        <v>719</v>
      </c>
    </row>
    <row r="931" spans="1:8" ht="12.75" customHeight="1">
      <c r="A931" s="717" t="s">
        <v>0</v>
      </c>
      <c r="B931" s="714"/>
      <c r="C931" s="714"/>
      <c r="D931" s="714"/>
      <c r="E931" s="714"/>
      <c r="F931" s="714"/>
      <c r="G931" s="714"/>
      <c r="H931" s="714"/>
    </row>
    <row r="932" spans="1:8" ht="16.5" thickBot="1">
      <c r="A932" s="597"/>
      <c r="B932" s="597"/>
      <c r="C932" s="598"/>
      <c r="D932" s="598"/>
      <c r="E932" s="598"/>
      <c r="F932" s="598"/>
      <c r="G932" s="598"/>
      <c r="H932" s="598"/>
    </row>
    <row r="933" spans="1:8" ht="12.75" customHeight="1">
      <c r="A933" s="708" t="s">
        <v>617</v>
      </c>
      <c r="B933" s="710" t="s">
        <v>618</v>
      </c>
      <c r="C933" s="711" t="s">
        <v>619</v>
      </c>
      <c r="D933" s="711"/>
      <c r="E933" s="711"/>
      <c r="F933" s="711"/>
      <c r="G933" s="712" t="s">
        <v>620</v>
      </c>
      <c r="H933" s="708" t="s">
        <v>621</v>
      </c>
    </row>
    <row r="934" spans="1:8" ht="15.75">
      <c r="A934" s="708"/>
      <c r="B934" s="710"/>
      <c r="C934" s="711"/>
      <c r="D934" s="711"/>
      <c r="E934" s="711"/>
      <c r="F934" s="711"/>
      <c r="G934" s="712"/>
      <c r="H934" s="708"/>
    </row>
    <row r="935" spans="1:8" ht="31.5">
      <c r="A935" s="708"/>
      <c r="B935" s="710"/>
      <c r="C935" s="601" t="s">
        <v>622</v>
      </c>
      <c r="D935" s="601" t="s">
        <v>623</v>
      </c>
      <c r="E935" s="602" t="s">
        <v>622</v>
      </c>
      <c r="F935" s="603" t="s">
        <v>623</v>
      </c>
      <c r="G935" s="712"/>
      <c r="H935" s="708"/>
    </row>
    <row r="936" spans="1:8" ht="15.75">
      <c r="A936" s="599">
        <v>1</v>
      </c>
      <c r="B936" s="599">
        <v>2</v>
      </c>
      <c r="C936" s="604">
        <v>3</v>
      </c>
      <c r="D936" s="604">
        <v>4</v>
      </c>
      <c r="E936" s="605"/>
      <c r="F936" s="606"/>
      <c r="G936" s="600">
        <v>5</v>
      </c>
      <c r="H936" s="599">
        <v>6</v>
      </c>
    </row>
    <row r="937" spans="1:8" ht="12.75" customHeight="1">
      <c r="A937" s="607">
        <v>1</v>
      </c>
      <c r="B937" s="709" t="s">
        <v>624</v>
      </c>
      <c r="C937" s="709"/>
      <c r="D937" s="709"/>
      <c r="E937" s="709"/>
      <c r="F937" s="709"/>
      <c r="G937" s="709"/>
      <c r="H937" s="709"/>
    </row>
    <row r="938" spans="1:8" ht="15.75">
      <c r="A938" s="608" t="s">
        <v>74</v>
      </c>
      <c r="B938" s="609" t="s">
        <v>625</v>
      </c>
      <c r="C938" s="610" t="s">
        <v>379</v>
      </c>
      <c r="D938" s="610" t="s">
        <v>379</v>
      </c>
      <c r="E938" s="610" t="s">
        <v>379</v>
      </c>
      <c r="F938" s="610" t="s">
        <v>379</v>
      </c>
      <c r="G938" s="610" t="s">
        <v>379</v>
      </c>
      <c r="H938" s="611" t="s">
        <v>626</v>
      </c>
    </row>
    <row r="939" spans="1:8" ht="15.75">
      <c r="A939" s="608" t="s">
        <v>313</v>
      </c>
      <c r="B939" s="609" t="s">
        <v>627</v>
      </c>
      <c r="C939" s="610" t="s">
        <v>379</v>
      </c>
      <c r="D939" s="610" t="s">
        <v>379</v>
      </c>
      <c r="E939" s="610" t="s">
        <v>379</v>
      </c>
      <c r="F939" s="610" t="s">
        <v>379</v>
      </c>
      <c r="G939" s="610" t="s">
        <v>379</v>
      </c>
      <c r="H939" s="611" t="s">
        <v>626</v>
      </c>
    </row>
    <row r="940" spans="1:8" ht="31.5">
      <c r="A940" s="608" t="s">
        <v>315</v>
      </c>
      <c r="B940" s="612" t="s">
        <v>628</v>
      </c>
      <c r="C940" s="610" t="s">
        <v>379</v>
      </c>
      <c r="D940" s="610" t="s">
        <v>379</v>
      </c>
      <c r="E940" s="610" t="s">
        <v>379</v>
      </c>
      <c r="F940" s="610" t="s">
        <v>379</v>
      </c>
      <c r="G940" s="610" t="s">
        <v>379</v>
      </c>
      <c r="H940" s="611" t="s">
        <v>626</v>
      </c>
    </row>
    <row r="941" spans="1:8" ht="47.25">
      <c r="A941" s="608" t="s">
        <v>317</v>
      </c>
      <c r="B941" s="612" t="s">
        <v>629</v>
      </c>
      <c r="C941" s="610" t="s">
        <v>379</v>
      </c>
      <c r="D941" s="610" t="s">
        <v>379</v>
      </c>
      <c r="E941" s="610" t="s">
        <v>379</v>
      </c>
      <c r="F941" s="610" t="s">
        <v>379</v>
      </c>
      <c r="G941" s="610" t="s">
        <v>379</v>
      </c>
      <c r="H941" s="611" t="s">
        <v>626</v>
      </c>
    </row>
    <row r="942" spans="1:8" ht="15.75">
      <c r="A942" s="608" t="s">
        <v>630</v>
      </c>
      <c r="B942" s="613" t="s">
        <v>631</v>
      </c>
      <c r="C942" s="610" t="s">
        <v>379</v>
      </c>
      <c r="D942" s="610" t="s">
        <v>379</v>
      </c>
      <c r="E942" s="610" t="s">
        <v>379</v>
      </c>
      <c r="F942" s="610" t="s">
        <v>379</v>
      </c>
      <c r="G942" s="610" t="s">
        <v>379</v>
      </c>
      <c r="H942" s="611" t="s">
        <v>626</v>
      </c>
    </row>
    <row r="943" spans="1:8" ht="15.75">
      <c r="A943" s="608" t="s">
        <v>632</v>
      </c>
      <c r="B943" s="613" t="s">
        <v>633</v>
      </c>
      <c r="C943" s="610" t="s">
        <v>379</v>
      </c>
      <c r="D943" s="610" t="s">
        <v>379</v>
      </c>
      <c r="E943" s="610" t="s">
        <v>379</v>
      </c>
      <c r="F943" s="610" t="s">
        <v>379</v>
      </c>
      <c r="G943" s="610" t="s">
        <v>379</v>
      </c>
      <c r="H943" s="611" t="s">
        <v>626</v>
      </c>
    </row>
    <row r="944" spans="1:8" ht="12.75" customHeight="1">
      <c r="A944" s="608">
        <v>2</v>
      </c>
      <c r="B944" s="706" t="s">
        <v>634</v>
      </c>
      <c r="C944" s="706"/>
      <c r="D944" s="706"/>
      <c r="E944" s="706"/>
      <c r="F944" s="706"/>
      <c r="G944" s="706"/>
      <c r="H944" s="706"/>
    </row>
    <row r="945" spans="1:8" ht="31.5">
      <c r="A945" s="608" t="s">
        <v>321</v>
      </c>
      <c r="B945" s="612" t="s">
        <v>635</v>
      </c>
      <c r="C945" s="610" t="s">
        <v>676</v>
      </c>
      <c r="D945" s="610" t="s">
        <v>645</v>
      </c>
      <c r="E945" s="610" t="s">
        <v>379</v>
      </c>
      <c r="F945" s="610" t="s">
        <v>379</v>
      </c>
      <c r="G945" s="614">
        <v>0</v>
      </c>
      <c r="H945" s="611"/>
    </row>
    <row r="946" spans="1:8" ht="47.25">
      <c r="A946" s="608" t="s">
        <v>325</v>
      </c>
      <c r="B946" s="612" t="s">
        <v>638</v>
      </c>
      <c r="C946" s="610" t="s">
        <v>379</v>
      </c>
      <c r="D946" s="610" t="s">
        <v>379</v>
      </c>
      <c r="E946" s="610" t="s">
        <v>379</v>
      </c>
      <c r="F946" s="610" t="s">
        <v>379</v>
      </c>
      <c r="G946" s="610" t="s">
        <v>379</v>
      </c>
      <c r="H946" s="611" t="s">
        <v>626</v>
      </c>
    </row>
    <row r="947" spans="1:8" ht="31.5">
      <c r="A947" s="608" t="s">
        <v>639</v>
      </c>
      <c r="B947" s="612" t="s">
        <v>640</v>
      </c>
      <c r="C947" s="610" t="s">
        <v>379</v>
      </c>
      <c r="D947" s="610" t="s">
        <v>379</v>
      </c>
      <c r="E947" s="610" t="s">
        <v>379</v>
      </c>
      <c r="F947" s="610" t="s">
        <v>379</v>
      </c>
      <c r="G947" s="610" t="s">
        <v>379</v>
      </c>
      <c r="H947" s="611" t="s">
        <v>626</v>
      </c>
    </row>
    <row r="948" spans="1:8" ht="12.75" customHeight="1">
      <c r="A948" s="608">
        <v>3</v>
      </c>
      <c r="B948" s="706" t="s">
        <v>674</v>
      </c>
      <c r="C948" s="706"/>
      <c r="D948" s="706"/>
      <c r="E948" s="706"/>
      <c r="F948" s="706"/>
      <c r="G948" s="706"/>
      <c r="H948" s="706"/>
    </row>
    <row r="949" spans="1:8" ht="31.5">
      <c r="A949" s="608" t="s">
        <v>378</v>
      </c>
      <c r="B949" s="613" t="s">
        <v>642</v>
      </c>
      <c r="C949" s="610" t="s">
        <v>379</v>
      </c>
      <c r="D949" s="610" t="s">
        <v>379</v>
      </c>
      <c r="E949" s="610" t="s">
        <v>379</v>
      </c>
      <c r="F949" s="610" t="s">
        <v>379</v>
      </c>
      <c r="G949" s="610" t="s">
        <v>379</v>
      </c>
      <c r="H949" s="611" t="s">
        <v>626</v>
      </c>
    </row>
    <row r="950" spans="1:8" ht="15.75">
      <c r="A950" s="608" t="s">
        <v>643</v>
      </c>
      <c r="B950" s="613" t="s">
        <v>644</v>
      </c>
      <c r="C950" s="610" t="s">
        <v>676</v>
      </c>
      <c r="D950" s="610" t="s">
        <v>720</v>
      </c>
      <c r="E950" s="610" t="s">
        <v>379</v>
      </c>
      <c r="F950" s="610" t="s">
        <v>379</v>
      </c>
      <c r="G950" s="614">
        <v>0</v>
      </c>
      <c r="H950" s="611"/>
    </row>
    <row r="951" spans="1:8" ht="15.75">
      <c r="A951" s="608" t="s">
        <v>380</v>
      </c>
      <c r="B951" s="613" t="s">
        <v>646</v>
      </c>
      <c r="C951" s="610" t="s">
        <v>699</v>
      </c>
      <c r="D951" s="610" t="s">
        <v>721</v>
      </c>
      <c r="E951" s="610" t="s">
        <v>379</v>
      </c>
      <c r="F951" s="610" t="s">
        <v>379</v>
      </c>
      <c r="G951" s="614">
        <v>0</v>
      </c>
      <c r="H951" s="611"/>
    </row>
    <row r="952" spans="1:8" ht="15.75">
      <c r="A952" s="608" t="s">
        <v>649</v>
      </c>
      <c r="B952" s="613" t="s">
        <v>650</v>
      </c>
      <c r="C952" s="610" t="s">
        <v>681</v>
      </c>
      <c r="D952" s="610" t="s">
        <v>722</v>
      </c>
      <c r="E952" s="610" t="s">
        <v>379</v>
      </c>
      <c r="F952" s="610" t="s">
        <v>379</v>
      </c>
      <c r="G952" s="614">
        <v>0</v>
      </c>
      <c r="H952" s="611"/>
    </row>
    <row r="953" spans="1:8" ht="15.75">
      <c r="A953" s="608" t="s">
        <v>653</v>
      </c>
      <c r="B953" s="613" t="s">
        <v>654</v>
      </c>
      <c r="C953" s="610" t="s">
        <v>701</v>
      </c>
      <c r="D953" s="610" t="s">
        <v>723</v>
      </c>
      <c r="E953" s="610" t="s">
        <v>379</v>
      </c>
      <c r="F953" s="610" t="s">
        <v>379</v>
      </c>
      <c r="G953" s="614">
        <v>0</v>
      </c>
      <c r="H953" s="611"/>
    </row>
    <row r="954" spans="1:8" ht="12.75" customHeight="1">
      <c r="A954" s="608">
        <v>4</v>
      </c>
      <c r="B954" s="706" t="s">
        <v>656</v>
      </c>
      <c r="C954" s="706"/>
      <c r="D954" s="706"/>
      <c r="E954" s="706"/>
      <c r="F954" s="706"/>
      <c r="G954" s="706"/>
      <c r="H954" s="706"/>
    </row>
    <row r="955" spans="1:8" ht="31.5">
      <c r="A955" s="608" t="s">
        <v>657</v>
      </c>
      <c r="B955" s="612" t="s">
        <v>658</v>
      </c>
      <c r="C955" s="610" t="s">
        <v>379</v>
      </c>
      <c r="D955" s="610" t="s">
        <v>379</v>
      </c>
      <c r="E955" s="610" t="s">
        <v>379</v>
      </c>
      <c r="F955" s="610" t="s">
        <v>379</v>
      </c>
      <c r="G955" s="610" t="s">
        <v>379</v>
      </c>
      <c r="H955" s="611" t="s">
        <v>626</v>
      </c>
    </row>
    <row r="956" spans="1:8" ht="47.25">
      <c r="A956" s="608" t="s">
        <v>659</v>
      </c>
      <c r="B956" s="612" t="s">
        <v>660</v>
      </c>
      <c r="C956" s="610" t="s">
        <v>379</v>
      </c>
      <c r="D956" s="610" t="s">
        <v>379</v>
      </c>
      <c r="E956" s="610" t="s">
        <v>379</v>
      </c>
      <c r="F956" s="610" t="s">
        <v>379</v>
      </c>
      <c r="G956" s="610" t="s">
        <v>379</v>
      </c>
      <c r="H956" s="611" t="s">
        <v>626</v>
      </c>
    </row>
    <row r="957" spans="1:8" ht="31.5">
      <c r="A957" s="608" t="s">
        <v>661</v>
      </c>
      <c r="B957" s="613" t="s">
        <v>662</v>
      </c>
      <c r="C957" s="610" t="s">
        <v>379</v>
      </c>
      <c r="D957" s="610" t="s">
        <v>379</v>
      </c>
      <c r="E957" s="610" t="s">
        <v>379</v>
      </c>
      <c r="F957" s="610" t="s">
        <v>379</v>
      </c>
      <c r="G957" s="610" t="s">
        <v>379</v>
      </c>
      <c r="H957" s="611" t="s">
        <v>626</v>
      </c>
    </row>
    <row r="958" spans="1:8" ht="31.5">
      <c r="A958" s="615" t="s">
        <v>663</v>
      </c>
      <c r="B958" s="616" t="s">
        <v>664</v>
      </c>
      <c r="C958" s="617" t="s">
        <v>379</v>
      </c>
      <c r="D958" s="617" t="s">
        <v>379</v>
      </c>
      <c r="E958" s="617" t="s">
        <v>379</v>
      </c>
      <c r="F958" s="617" t="s">
        <v>379</v>
      </c>
      <c r="G958" s="617" t="s">
        <v>379</v>
      </c>
      <c r="H958" s="618" t="s">
        <v>626</v>
      </c>
    </row>
    <row r="959" spans="1:8" ht="15.75">
      <c r="A959" s="619"/>
      <c r="B959" s="620"/>
      <c r="C959" s="621"/>
      <c r="D959" s="621"/>
      <c r="E959" s="621"/>
      <c r="F959" s="621"/>
      <c r="G959" s="621"/>
      <c r="H959" s="148"/>
    </row>
    <row r="960" spans="1:8" ht="12.75" customHeight="1">
      <c r="A960" s="707" t="s">
        <v>665</v>
      </c>
      <c r="B960" s="707"/>
      <c r="C960" s="707"/>
      <c r="D960" s="707"/>
      <c r="E960" s="707"/>
      <c r="F960" s="707"/>
      <c r="G960" s="707"/>
      <c r="H960" s="707"/>
    </row>
    <row r="963" ht="15.75">
      <c r="H963" s="11" t="s">
        <v>609</v>
      </c>
    </row>
    <row r="964" ht="15.75">
      <c r="H964" s="11" t="s">
        <v>610</v>
      </c>
    </row>
    <row r="965" ht="15.75">
      <c r="H965" s="11" t="s">
        <v>611</v>
      </c>
    </row>
    <row r="966" ht="15.75">
      <c r="H966" s="11"/>
    </row>
    <row r="967" spans="1:8" ht="12.75" customHeight="1">
      <c r="A967" s="713" t="s">
        <v>612</v>
      </c>
      <c r="B967" s="713"/>
      <c r="C967" s="713"/>
      <c r="D967" s="713"/>
      <c r="E967" s="713"/>
      <c r="F967" s="713"/>
      <c r="G967" s="713"/>
      <c r="H967" s="713"/>
    </row>
    <row r="968" spans="1:8" ht="12.75" customHeight="1">
      <c r="A968" s="713" t="s">
        <v>613</v>
      </c>
      <c r="B968" s="713"/>
      <c r="C968" s="713"/>
      <c r="D968" s="713"/>
      <c r="E968" s="713"/>
      <c r="F968" s="713"/>
      <c r="G968" s="713"/>
      <c r="H968" s="713"/>
    </row>
    <row r="969" ht="15.75">
      <c r="H969" s="11" t="s">
        <v>43</v>
      </c>
    </row>
    <row r="970" ht="15.75">
      <c r="H970" s="11" t="s">
        <v>44</v>
      </c>
    </row>
    <row r="971" ht="15.75">
      <c r="H971" s="11" t="s">
        <v>45</v>
      </c>
    </row>
    <row r="972" ht="15.75">
      <c r="H972" s="594" t="s">
        <v>614</v>
      </c>
    </row>
    <row r="973" ht="15.75">
      <c r="H973" s="11" t="s">
        <v>615</v>
      </c>
    </row>
    <row r="974" ht="15.75">
      <c r="H974" s="11" t="s">
        <v>47</v>
      </c>
    </row>
    <row r="975" ht="15.75">
      <c r="A975" s="595"/>
    </row>
    <row r="976" ht="15.75">
      <c r="A976" s="3" t="s">
        <v>724</v>
      </c>
    </row>
    <row r="977" spans="1:8" ht="12.75" customHeight="1">
      <c r="A977" s="717" t="s">
        <v>0</v>
      </c>
      <c r="B977" s="714"/>
      <c r="C977" s="714"/>
      <c r="D977" s="714"/>
      <c r="E977" s="714"/>
      <c r="F977" s="714"/>
      <c r="G977" s="714"/>
      <c r="H977" s="714"/>
    </row>
    <row r="978" spans="1:8" ht="16.5" thickBot="1">
      <c r="A978" s="597"/>
      <c r="B978" s="597"/>
      <c r="C978" s="598"/>
      <c r="D978" s="598"/>
      <c r="E978" s="598"/>
      <c r="F978" s="598"/>
      <c r="G978" s="598"/>
      <c r="H978" s="598"/>
    </row>
    <row r="979" spans="1:8" ht="12.75" customHeight="1">
      <c r="A979" s="708" t="s">
        <v>617</v>
      </c>
      <c r="B979" s="710" t="s">
        <v>618</v>
      </c>
      <c r="C979" s="711" t="s">
        <v>619</v>
      </c>
      <c r="D979" s="711"/>
      <c r="E979" s="711"/>
      <c r="F979" s="711"/>
      <c r="G979" s="712" t="s">
        <v>620</v>
      </c>
      <c r="H979" s="708" t="s">
        <v>621</v>
      </c>
    </row>
    <row r="980" spans="1:8" ht="15.75">
      <c r="A980" s="708"/>
      <c r="B980" s="710"/>
      <c r="C980" s="711"/>
      <c r="D980" s="711"/>
      <c r="E980" s="711"/>
      <c r="F980" s="711"/>
      <c r="G980" s="712"/>
      <c r="H980" s="708"/>
    </row>
    <row r="981" spans="1:8" ht="31.5">
      <c r="A981" s="708"/>
      <c r="B981" s="710"/>
      <c r="C981" s="601" t="s">
        <v>622</v>
      </c>
      <c r="D981" s="601" t="s">
        <v>623</v>
      </c>
      <c r="E981" s="602" t="s">
        <v>622</v>
      </c>
      <c r="F981" s="603" t="s">
        <v>623</v>
      </c>
      <c r="G981" s="712"/>
      <c r="H981" s="708"/>
    </row>
    <row r="982" spans="1:8" ht="15.75">
      <c r="A982" s="599">
        <v>1</v>
      </c>
      <c r="B982" s="599">
        <v>2</v>
      </c>
      <c r="C982" s="604">
        <v>3</v>
      </c>
      <c r="D982" s="604">
        <v>4</v>
      </c>
      <c r="E982" s="605"/>
      <c r="F982" s="606"/>
      <c r="G982" s="600">
        <v>5</v>
      </c>
      <c r="H982" s="599">
        <v>6</v>
      </c>
    </row>
    <row r="983" spans="1:8" ht="12.75" customHeight="1">
      <c r="A983" s="607">
        <v>1</v>
      </c>
      <c r="B983" s="709" t="s">
        <v>624</v>
      </c>
      <c r="C983" s="709"/>
      <c r="D983" s="709"/>
      <c r="E983" s="709"/>
      <c r="F983" s="709"/>
      <c r="G983" s="709"/>
      <c r="H983" s="709"/>
    </row>
    <row r="984" spans="1:8" ht="15.75">
      <c r="A984" s="608" t="s">
        <v>74</v>
      </c>
      <c r="B984" s="609" t="s">
        <v>625</v>
      </c>
      <c r="C984" s="610" t="s">
        <v>379</v>
      </c>
      <c r="D984" s="610" t="s">
        <v>379</v>
      </c>
      <c r="E984" s="610" t="s">
        <v>379</v>
      </c>
      <c r="F984" s="610" t="s">
        <v>379</v>
      </c>
      <c r="G984" s="610" t="s">
        <v>379</v>
      </c>
      <c r="H984" s="611" t="s">
        <v>626</v>
      </c>
    </row>
    <row r="985" spans="1:8" ht="15.75">
      <c r="A985" s="608" t="s">
        <v>313</v>
      </c>
      <c r="B985" s="609" t="s">
        <v>627</v>
      </c>
      <c r="C985" s="610" t="s">
        <v>379</v>
      </c>
      <c r="D985" s="610" t="s">
        <v>379</v>
      </c>
      <c r="E985" s="610" t="s">
        <v>379</v>
      </c>
      <c r="F985" s="610" t="s">
        <v>379</v>
      </c>
      <c r="G985" s="610" t="s">
        <v>379</v>
      </c>
      <c r="H985" s="611" t="s">
        <v>626</v>
      </c>
    </row>
    <row r="986" spans="1:8" ht="31.5">
      <c r="A986" s="608" t="s">
        <v>315</v>
      </c>
      <c r="B986" s="612" t="s">
        <v>628</v>
      </c>
      <c r="C986" s="610" t="s">
        <v>379</v>
      </c>
      <c r="D986" s="610" t="s">
        <v>379</v>
      </c>
      <c r="E986" s="610" t="s">
        <v>379</v>
      </c>
      <c r="F986" s="610" t="s">
        <v>379</v>
      </c>
      <c r="G986" s="610" t="s">
        <v>379</v>
      </c>
      <c r="H986" s="611" t="s">
        <v>626</v>
      </c>
    </row>
    <row r="987" spans="1:8" ht="47.25">
      <c r="A987" s="608" t="s">
        <v>317</v>
      </c>
      <c r="B987" s="612" t="s">
        <v>629</v>
      </c>
      <c r="C987" s="610" t="s">
        <v>379</v>
      </c>
      <c r="D987" s="610" t="s">
        <v>379</v>
      </c>
      <c r="E987" s="610" t="s">
        <v>379</v>
      </c>
      <c r="F987" s="610" t="s">
        <v>379</v>
      </c>
      <c r="G987" s="610" t="s">
        <v>379</v>
      </c>
      <c r="H987" s="611" t="s">
        <v>626</v>
      </c>
    </row>
    <row r="988" spans="1:8" ht="15.75">
      <c r="A988" s="608" t="s">
        <v>630</v>
      </c>
      <c r="B988" s="613" t="s">
        <v>631</v>
      </c>
      <c r="C988" s="610" t="s">
        <v>379</v>
      </c>
      <c r="D988" s="610" t="s">
        <v>379</v>
      </c>
      <c r="E988" s="610" t="s">
        <v>379</v>
      </c>
      <c r="F988" s="610" t="s">
        <v>379</v>
      </c>
      <c r="G988" s="610" t="s">
        <v>379</v>
      </c>
      <c r="H988" s="611" t="s">
        <v>626</v>
      </c>
    </row>
    <row r="989" spans="1:8" ht="15.75">
      <c r="A989" s="608" t="s">
        <v>632</v>
      </c>
      <c r="B989" s="613" t="s">
        <v>633</v>
      </c>
      <c r="C989" s="610" t="s">
        <v>379</v>
      </c>
      <c r="D989" s="610" t="s">
        <v>379</v>
      </c>
      <c r="E989" s="610" t="s">
        <v>379</v>
      </c>
      <c r="F989" s="610" t="s">
        <v>379</v>
      </c>
      <c r="G989" s="610" t="s">
        <v>379</v>
      </c>
      <c r="H989" s="611" t="s">
        <v>626</v>
      </c>
    </row>
    <row r="990" spans="1:8" ht="12.75" customHeight="1">
      <c r="A990" s="608">
        <v>2</v>
      </c>
      <c r="B990" s="706" t="s">
        <v>634</v>
      </c>
      <c r="C990" s="706"/>
      <c r="D990" s="706"/>
      <c r="E990" s="706"/>
      <c r="F990" s="706"/>
      <c r="G990" s="706"/>
      <c r="H990" s="706"/>
    </row>
    <row r="991" spans="1:8" ht="31.5">
      <c r="A991" s="608" t="s">
        <v>321</v>
      </c>
      <c r="B991" s="612" t="s">
        <v>635</v>
      </c>
      <c r="C991" s="610" t="s">
        <v>710</v>
      </c>
      <c r="D991" s="610" t="s">
        <v>725</v>
      </c>
      <c r="E991" s="610" t="s">
        <v>379</v>
      </c>
      <c r="F991" s="610" t="s">
        <v>379</v>
      </c>
      <c r="G991" s="614">
        <v>0</v>
      </c>
      <c r="H991" s="611"/>
    </row>
    <row r="992" spans="1:8" ht="47.25">
      <c r="A992" s="608" t="s">
        <v>325</v>
      </c>
      <c r="B992" s="612" t="s">
        <v>638</v>
      </c>
      <c r="C992" s="610" t="s">
        <v>379</v>
      </c>
      <c r="D992" s="610" t="s">
        <v>379</v>
      </c>
      <c r="E992" s="610" t="s">
        <v>379</v>
      </c>
      <c r="F992" s="610" t="s">
        <v>379</v>
      </c>
      <c r="G992" s="610" t="s">
        <v>379</v>
      </c>
      <c r="H992" s="611" t="s">
        <v>626</v>
      </c>
    </row>
    <row r="993" spans="1:8" ht="31.5">
      <c r="A993" s="608" t="s">
        <v>639</v>
      </c>
      <c r="B993" s="612" t="s">
        <v>640</v>
      </c>
      <c r="C993" s="610" t="s">
        <v>379</v>
      </c>
      <c r="D993" s="610" t="s">
        <v>379</v>
      </c>
      <c r="E993" s="610" t="s">
        <v>379</v>
      </c>
      <c r="F993" s="610" t="s">
        <v>379</v>
      </c>
      <c r="G993" s="610" t="s">
        <v>379</v>
      </c>
      <c r="H993" s="611" t="s">
        <v>626</v>
      </c>
    </row>
    <row r="994" spans="1:8" ht="12.75" customHeight="1">
      <c r="A994" s="608">
        <v>3</v>
      </c>
      <c r="B994" s="706" t="s">
        <v>674</v>
      </c>
      <c r="C994" s="706"/>
      <c r="D994" s="706"/>
      <c r="E994" s="706"/>
      <c r="F994" s="706"/>
      <c r="G994" s="706"/>
      <c r="H994" s="706"/>
    </row>
    <row r="995" spans="1:8" ht="31.5">
      <c r="A995" s="608" t="s">
        <v>378</v>
      </c>
      <c r="B995" s="613" t="s">
        <v>642</v>
      </c>
      <c r="C995" s="610" t="s">
        <v>379</v>
      </c>
      <c r="D995" s="610" t="s">
        <v>379</v>
      </c>
      <c r="E995" s="610" t="s">
        <v>379</v>
      </c>
      <c r="F995" s="610" t="s">
        <v>379</v>
      </c>
      <c r="G995" s="610" t="s">
        <v>379</v>
      </c>
      <c r="H995" s="611" t="s">
        <v>626</v>
      </c>
    </row>
    <row r="996" spans="1:8" ht="15.75">
      <c r="A996" s="608" t="s">
        <v>643</v>
      </c>
      <c r="B996" s="613" t="s">
        <v>644</v>
      </c>
      <c r="C996" s="610" t="s">
        <v>710</v>
      </c>
      <c r="D996" s="610" t="s">
        <v>726</v>
      </c>
      <c r="E996" s="610" t="s">
        <v>379</v>
      </c>
      <c r="F996" s="610" t="s">
        <v>379</v>
      </c>
      <c r="G996" s="614">
        <v>0</v>
      </c>
      <c r="H996" s="611"/>
    </row>
    <row r="997" spans="1:8" ht="15.75">
      <c r="A997" s="608" t="s">
        <v>380</v>
      </c>
      <c r="B997" s="613" t="s">
        <v>646</v>
      </c>
      <c r="C997" s="610" t="s">
        <v>713</v>
      </c>
      <c r="D997" s="610" t="s">
        <v>727</v>
      </c>
      <c r="E997" s="610" t="s">
        <v>379</v>
      </c>
      <c r="F997" s="610" t="s">
        <v>379</v>
      </c>
      <c r="G997" s="614">
        <v>0</v>
      </c>
      <c r="H997" s="611"/>
    </row>
    <row r="998" spans="1:8" ht="15.75">
      <c r="A998" s="608" t="s">
        <v>649</v>
      </c>
      <c r="B998" s="613" t="s">
        <v>650</v>
      </c>
      <c r="C998" s="610" t="s">
        <v>715</v>
      </c>
      <c r="D998" s="610" t="s">
        <v>728</v>
      </c>
      <c r="E998" s="610" t="s">
        <v>379</v>
      </c>
      <c r="F998" s="610" t="s">
        <v>379</v>
      </c>
      <c r="G998" s="614">
        <v>0</v>
      </c>
      <c r="H998" s="611"/>
    </row>
    <row r="999" spans="1:8" ht="15.75">
      <c r="A999" s="608" t="s">
        <v>653</v>
      </c>
      <c r="B999" s="613" t="s">
        <v>654</v>
      </c>
      <c r="C999" s="610" t="s">
        <v>729</v>
      </c>
      <c r="D999" s="610" t="s">
        <v>725</v>
      </c>
      <c r="E999" s="610" t="s">
        <v>379</v>
      </c>
      <c r="F999" s="610" t="s">
        <v>379</v>
      </c>
      <c r="G999" s="614">
        <v>0</v>
      </c>
      <c r="H999" s="611"/>
    </row>
    <row r="1000" spans="1:8" ht="12.75" customHeight="1">
      <c r="A1000" s="608">
        <v>4</v>
      </c>
      <c r="B1000" s="706" t="s">
        <v>656</v>
      </c>
      <c r="C1000" s="706"/>
      <c r="D1000" s="706"/>
      <c r="E1000" s="706"/>
      <c r="F1000" s="706"/>
      <c r="G1000" s="706"/>
      <c r="H1000" s="706"/>
    </row>
    <row r="1001" spans="1:8" ht="31.5">
      <c r="A1001" s="608" t="s">
        <v>657</v>
      </c>
      <c r="B1001" s="612" t="s">
        <v>658</v>
      </c>
      <c r="C1001" s="610" t="s">
        <v>379</v>
      </c>
      <c r="D1001" s="610" t="s">
        <v>379</v>
      </c>
      <c r="E1001" s="610" t="s">
        <v>379</v>
      </c>
      <c r="F1001" s="610" t="s">
        <v>379</v>
      </c>
      <c r="G1001" s="610" t="s">
        <v>379</v>
      </c>
      <c r="H1001" s="611" t="s">
        <v>626</v>
      </c>
    </row>
    <row r="1002" spans="1:8" ht="47.25">
      <c r="A1002" s="608" t="s">
        <v>659</v>
      </c>
      <c r="B1002" s="612" t="s">
        <v>660</v>
      </c>
      <c r="C1002" s="610" t="s">
        <v>379</v>
      </c>
      <c r="D1002" s="610" t="s">
        <v>379</v>
      </c>
      <c r="E1002" s="610" t="s">
        <v>379</v>
      </c>
      <c r="F1002" s="610" t="s">
        <v>379</v>
      </c>
      <c r="G1002" s="610" t="s">
        <v>379</v>
      </c>
      <c r="H1002" s="611" t="s">
        <v>626</v>
      </c>
    </row>
    <row r="1003" spans="1:8" ht="31.5">
      <c r="A1003" s="608" t="s">
        <v>661</v>
      </c>
      <c r="B1003" s="613" t="s">
        <v>662</v>
      </c>
      <c r="C1003" s="610" t="s">
        <v>379</v>
      </c>
      <c r="D1003" s="610" t="s">
        <v>379</v>
      </c>
      <c r="E1003" s="610" t="s">
        <v>379</v>
      </c>
      <c r="F1003" s="610" t="s">
        <v>379</v>
      </c>
      <c r="G1003" s="610" t="s">
        <v>379</v>
      </c>
      <c r="H1003" s="611" t="s">
        <v>626</v>
      </c>
    </row>
    <row r="1004" spans="1:8" ht="31.5">
      <c r="A1004" s="615" t="s">
        <v>663</v>
      </c>
      <c r="B1004" s="616" t="s">
        <v>664</v>
      </c>
      <c r="C1004" s="617" t="s">
        <v>379</v>
      </c>
      <c r="D1004" s="617" t="s">
        <v>379</v>
      </c>
      <c r="E1004" s="617" t="s">
        <v>379</v>
      </c>
      <c r="F1004" s="617" t="s">
        <v>379</v>
      </c>
      <c r="G1004" s="617" t="s">
        <v>379</v>
      </c>
      <c r="H1004" s="618" t="s">
        <v>626</v>
      </c>
    </row>
    <row r="1005" spans="1:8" ht="15.75">
      <c r="A1005" s="619"/>
      <c r="B1005" s="620"/>
      <c r="C1005" s="621"/>
      <c r="D1005" s="621"/>
      <c r="E1005" s="621"/>
      <c r="F1005" s="621"/>
      <c r="G1005" s="621"/>
      <c r="H1005" s="148"/>
    </row>
    <row r="1006" spans="1:8" ht="12.75" customHeight="1">
      <c r="A1006" s="707" t="s">
        <v>665</v>
      </c>
      <c r="B1006" s="707"/>
      <c r="C1006" s="707"/>
      <c r="D1006" s="707"/>
      <c r="E1006" s="707"/>
      <c r="F1006" s="707"/>
      <c r="G1006" s="707"/>
      <c r="H1006" s="707"/>
    </row>
    <row r="1009" ht="15.75">
      <c r="H1009" s="11" t="s">
        <v>609</v>
      </c>
    </row>
    <row r="1010" ht="15.75">
      <c r="H1010" s="11" t="s">
        <v>610</v>
      </c>
    </row>
    <row r="1011" ht="15.75">
      <c r="H1011" s="11" t="s">
        <v>611</v>
      </c>
    </row>
    <row r="1012" ht="15.75">
      <c r="H1012" s="11"/>
    </row>
    <row r="1013" spans="1:8" ht="12.75" customHeight="1">
      <c r="A1013" s="713" t="s">
        <v>612</v>
      </c>
      <c r="B1013" s="713"/>
      <c r="C1013" s="713"/>
      <c r="D1013" s="713"/>
      <c r="E1013" s="713"/>
      <c r="F1013" s="713"/>
      <c r="G1013" s="713"/>
      <c r="H1013" s="713"/>
    </row>
    <row r="1014" spans="1:8" ht="12.75" customHeight="1">
      <c r="A1014" s="713" t="s">
        <v>613</v>
      </c>
      <c r="B1014" s="713"/>
      <c r="C1014" s="713"/>
      <c r="D1014" s="713"/>
      <c r="E1014" s="713"/>
      <c r="F1014" s="713"/>
      <c r="G1014" s="713"/>
      <c r="H1014" s="713"/>
    </row>
    <row r="1015" ht="15.75">
      <c r="H1015" s="11" t="s">
        <v>43</v>
      </c>
    </row>
    <row r="1016" ht="15.75">
      <c r="H1016" s="11" t="s">
        <v>44</v>
      </c>
    </row>
    <row r="1017" ht="15.75">
      <c r="H1017" s="11" t="s">
        <v>45</v>
      </c>
    </row>
    <row r="1018" ht="15.75">
      <c r="H1018" s="594" t="s">
        <v>614</v>
      </c>
    </row>
    <row r="1019" ht="15.75">
      <c r="H1019" s="11" t="s">
        <v>615</v>
      </c>
    </row>
    <row r="1020" ht="15.75">
      <c r="H1020" s="11" t="s">
        <v>47</v>
      </c>
    </row>
    <row r="1021" ht="15.75">
      <c r="A1021" s="595"/>
    </row>
    <row r="1022" ht="15.75">
      <c r="A1022" s="3" t="s">
        <v>730</v>
      </c>
    </row>
    <row r="1023" spans="1:8" ht="12.75" customHeight="1">
      <c r="A1023" s="717" t="s">
        <v>0</v>
      </c>
      <c r="B1023" s="714"/>
      <c r="C1023" s="714"/>
      <c r="D1023" s="714"/>
      <c r="E1023" s="714"/>
      <c r="F1023" s="714"/>
      <c r="G1023" s="714"/>
      <c r="H1023" s="714"/>
    </row>
    <row r="1024" spans="1:8" ht="16.5" thickBot="1">
      <c r="A1024" s="597"/>
      <c r="B1024" s="597"/>
      <c r="C1024" s="598"/>
      <c r="D1024" s="598"/>
      <c r="E1024" s="598"/>
      <c r="F1024" s="598"/>
      <c r="G1024" s="598"/>
      <c r="H1024" s="598"/>
    </row>
    <row r="1025" spans="1:8" ht="12.75" customHeight="1">
      <c r="A1025" s="708" t="s">
        <v>617</v>
      </c>
      <c r="B1025" s="710" t="s">
        <v>618</v>
      </c>
      <c r="C1025" s="711" t="s">
        <v>619</v>
      </c>
      <c r="D1025" s="711"/>
      <c r="E1025" s="711"/>
      <c r="F1025" s="711"/>
      <c r="G1025" s="712" t="s">
        <v>620</v>
      </c>
      <c r="H1025" s="708" t="s">
        <v>621</v>
      </c>
    </row>
    <row r="1026" spans="1:8" ht="15.75">
      <c r="A1026" s="708"/>
      <c r="B1026" s="710"/>
      <c r="C1026" s="711"/>
      <c r="D1026" s="711"/>
      <c r="E1026" s="711"/>
      <c r="F1026" s="711"/>
      <c r="G1026" s="712"/>
      <c r="H1026" s="708"/>
    </row>
    <row r="1027" spans="1:8" ht="31.5">
      <c r="A1027" s="708"/>
      <c r="B1027" s="710"/>
      <c r="C1027" s="601" t="s">
        <v>622</v>
      </c>
      <c r="D1027" s="601" t="s">
        <v>623</v>
      </c>
      <c r="E1027" s="602" t="s">
        <v>622</v>
      </c>
      <c r="F1027" s="603" t="s">
        <v>623</v>
      </c>
      <c r="G1027" s="712"/>
      <c r="H1027" s="708"/>
    </row>
    <row r="1028" spans="1:8" ht="15.75">
      <c r="A1028" s="599">
        <v>1</v>
      </c>
      <c r="B1028" s="599">
        <v>2</v>
      </c>
      <c r="C1028" s="604">
        <v>3</v>
      </c>
      <c r="D1028" s="604">
        <v>4</v>
      </c>
      <c r="E1028" s="605"/>
      <c r="F1028" s="606"/>
      <c r="G1028" s="600">
        <v>5</v>
      </c>
      <c r="H1028" s="599">
        <v>6</v>
      </c>
    </row>
    <row r="1029" spans="1:8" ht="12.75" customHeight="1">
      <c r="A1029" s="607">
        <v>1</v>
      </c>
      <c r="B1029" s="709" t="s">
        <v>624</v>
      </c>
      <c r="C1029" s="709"/>
      <c r="D1029" s="709"/>
      <c r="E1029" s="709"/>
      <c r="F1029" s="709"/>
      <c r="G1029" s="709"/>
      <c r="H1029" s="709"/>
    </row>
    <row r="1030" spans="1:8" ht="15.75">
      <c r="A1030" s="608" t="s">
        <v>74</v>
      </c>
      <c r="B1030" s="609" t="s">
        <v>625</v>
      </c>
      <c r="C1030" s="610" t="s">
        <v>379</v>
      </c>
      <c r="D1030" s="610" t="s">
        <v>379</v>
      </c>
      <c r="E1030" s="610" t="s">
        <v>379</v>
      </c>
      <c r="F1030" s="610" t="s">
        <v>379</v>
      </c>
      <c r="G1030" s="610" t="s">
        <v>379</v>
      </c>
      <c r="H1030" s="611" t="s">
        <v>626</v>
      </c>
    </row>
    <row r="1031" spans="1:8" ht="15.75">
      <c r="A1031" s="608" t="s">
        <v>313</v>
      </c>
      <c r="B1031" s="609" t="s">
        <v>627</v>
      </c>
      <c r="C1031" s="610" t="s">
        <v>379</v>
      </c>
      <c r="D1031" s="610" t="s">
        <v>379</v>
      </c>
      <c r="E1031" s="610" t="s">
        <v>379</v>
      </c>
      <c r="F1031" s="610" t="s">
        <v>379</v>
      </c>
      <c r="G1031" s="610" t="s">
        <v>379</v>
      </c>
      <c r="H1031" s="611" t="s">
        <v>626</v>
      </c>
    </row>
    <row r="1032" spans="1:8" ht="31.5">
      <c r="A1032" s="608" t="s">
        <v>315</v>
      </c>
      <c r="B1032" s="612" t="s">
        <v>628</v>
      </c>
      <c r="C1032" s="610" t="s">
        <v>379</v>
      </c>
      <c r="D1032" s="610" t="s">
        <v>379</v>
      </c>
      <c r="E1032" s="610" t="s">
        <v>379</v>
      </c>
      <c r="F1032" s="610" t="s">
        <v>379</v>
      </c>
      <c r="G1032" s="610" t="s">
        <v>379</v>
      </c>
      <c r="H1032" s="611" t="s">
        <v>626</v>
      </c>
    </row>
    <row r="1033" spans="1:8" ht="47.25">
      <c r="A1033" s="608" t="s">
        <v>317</v>
      </c>
      <c r="B1033" s="612" t="s">
        <v>629</v>
      </c>
      <c r="C1033" s="610" t="s">
        <v>379</v>
      </c>
      <c r="D1033" s="610" t="s">
        <v>379</v>
      </c>
      <c r="E1033" s="610" t="s">
        <v>379</v>
      </c>
      <c r="F1033" s="610" t="s">
        <v>379</v>
      </c>
      <c r="G1033" s="610" t="s">
        <v>379</v>
      </c>
      <c r="H1033" s="611" t="s">
        <v>626</v>
      </c>
    </row>
    <row r="1034" spans="1:8" ht="15.75">
      <c r="A1034" s="608" t="s">
        <v>630</v>
      </c>
      <c r="B1034" s="613" t="s">
        <v>631</v>
      </c>
      <c r="C1034" s="610" t="s">
        <v>379</v>
      </c>
      <c r="D1034" s="610" t="s">
        <v>379</v>
      </c>
      <c r="E1034" s="610" t="s">
        <v>379</v>
      </c>
      <c r="F1034" s="610" t="s">
        <v>379</v>
      </c>
      <c r="G1034" s="610" t="s">
        <v>379</v>
      </c>
      <c r="H1034" s="611" t="s">
        <v>626</v>
      </c>
    </row>
    <row r="1035" spans="1:8" ht="15.75">
      <c r="A1035" s="608" t="s">
        <v>632</v>
      </c>
      <c r="B1035" s="613" t="s">
        <v>633</v>
      </c>
      <c r="C1035" s="610" t="s">
        <v>379</v>
      </c>
      <c r="D1035" s="610" t="s">
        <v>379</v>
      </c>
      <c r="E1035" s="610" t="s">
        <v>379</v>
      </c>
      <c r="F1035" s="610" t="s">
        <v>379</v>
      </c>
      <c r="G1035" s="610" t="s">
        <v>379</v>
      </c>
      <c r="H1035" s="611" t="s">
        <v>626</v>
      </c>
    </row>
    <row r="1036" spans="1:8" ht="12.75" customHeight="1">
      <c r="A1036" s="608">
        <v>2</v>
      </c>
      <c r="B1036" s="706" t="s">
        <v>634</v>
      </c>
      <c r="C1036" s="706"/>
      <c r="D1036" s="706"/>
      <c r="E1036" s="706"/>
      <c r="F1036" s="706"/>
      <c r="G1036" s="706"/>
      <c r="H1036" s="706"/>
    </row>
    <row r="1037" spans="1:8" ht="31.5">
      <c r="A1037" s="608" t="s">
        <v>321</v>
      </c>
      <c r="B1037" s="612" t="s">
        <v>635</v>
      </c>
      <c r="C1037" s="610" t="s">
        <v>710</v>
      </c>
      <c r="D1037" s="610" t="s">
        <v>711</v>
      </c>
      <c r="E1037" s="610" t="s">
        <v>379</v>
      </c>
      <c r="F1037" s="610" t="s">
        <v>379</v>
      </c>
      <c r="G1037" s="614">
        <v>0</v>
      </c>
      <c r="H1037" s="611"/>
    </row>
    <row r="1038" spans="1:8" ht="47.25">
      <c r="A1038" s="608" t="s">
        <v>325</v>
      </c>
      <c r="B1038" s="612" t="s">
        <v>638</v>
      </c>
      <c r="C1038" s="610" t="s">
        <v>379</v>
      </c>
      <c r="D1038" s="610" t="s">
        <v>379</v>
      </c>
      <c r="E1038" s="610" t="s">
        <v>379</v>
      </c>
      <c r="F1038" s="610" t="s">
        <v>379</v>
      </c>
      <c r="G1038" s="610" t="s">
        <v>379</v>
      </c>
      <c r="H1038" s="611" t="s">
        <v>626</v>
      </c>
    </row>
    <row r="1039" spans="1:8" ht="31.5">
      <c r="A1039" s="608" t="s">
        <v>639</v>
      </c>
      <c r="B1039" s="612" t="s">
        <v>640</v>
      </c>
      <c r="C1039" s="610" t="s">
        <v>379</v>
      </c>
      <c r="D1039" s="610" t="s">
        <v>379</v>
      </c>
      <c r="E1039" s="610" t="s">
        <v>379</v>
      </c>
      <c r="F1039" s="610" t="s">
        <v>379</v>
      </c>
      <c r="G1039" s="610" t="s">
        <v>379</v>
      </c>
      <c r="H1039" s="611" t="s">
        <v>626</v>
      </c>
    </row>
    <row r="1040" spans="1:8" ht="12.75" customHeight="1">
      <c r="A1040" s="608">
        <v>3</v>
      </c>
      <c r="B1040" s="706" t="s">
        <v>674</v>
      </c>
      <c r="C1040" s="706"/>
      <c r="D1040" s="706"/>
      <c r="E1040" s="706"/>
      <c r="F1040" s="706"/>
      <c r="G1040" s="706"/>
      <c r="H1040" s="706"/>
    </row>
    <row r="1041" spans="1:8" ht="31.5">
      <c r="A1041" s="608" t="s">
        <v>378</v>
      </c>
      <c r="B1041" s="613" t="s">
        <v>642</v>
      </c>
      <c r="C1041" s="610" t="s">
        <v>379</v>
      </c>
      <c r="D1041" s="610" t="s">
        <v>379</v>
      </c>
      <c r="E1041" s="610" t="s">
        <v>379</v>
      </c>
      <c r="F1041" s="610" t="s">
        <v>379</v>
      </c>
      <c r="G1041" s="610" t="s">
        <v>379</v>
      </c>
      <c r="H1041" s="611" t="s">
        <v>626</v>
      </c>
    </row>
    <row r="1042" spans="1:8" ht="15.75">
      <c r="A1042" s="608" t="s">
        <v>643</v>
      </c>
      <c r="B1042" s="613" t="s">
        <v>644</v>
      </c>
      <c r="C1042" s="610" t="s">
        <v>710</v>
      </c>
      <c r="D1042" s="610" t="s">
        <v>712</v>
      </c>
      <c r="E1042" s="610" t="s">
        <v>379</v>
      </c>
      <c r="F1042" s="610" t="s">
        <v>379</v>
      </c>
      <c r="G1042" s="614">
        <v>0</v>
      </c>
      <c r="H1042" s="611"/>
    </row>
    <row r="1043" spans="1:8" ht="15.75">
      <c r="A1043" s="608" t="s">
        <v>380</v>
      </c>
      <c r="B1043" s="613" t="s">
        <v>646</v>
      </c>
      <c r="C1043" s="610" t="s">
        <v>713</v>
      </c>
      <c r="D1043" s="610" t="s">
        <v>714</v>
      </c>
      <c r="E1043" s="610" t="s">
        <v>379</v>
      </c>
      <c r="F1043" s="610" t="s">
        <v>379</v>
      </c>
      <c r="G1043" s="614">
        <v>0</v>
      </c>
      <c r="H1043" s="611"/>
    </row>
    <row r="1044" spans="1:8" ht="15.75">
      <c r="A1044" s="608" t="s">
        <v>649</v>
      </c>
      <c r="B1044" s="613" t="s">
        <v>650</v>
      </c>
      <c r="C1044" s="610" t="s">
        <v>715</v>
      </c>
      <c r="D1044" s="610" t="s">
        <v>716</v>
      </c>
      <c r="E1044" s="610" t="s">
        <v>379</v>
      </c>
      <c r="F1044" s="610" t="s">
        <v>379</v>
      </c>
      <c r="G1044" s="614">
        <v>0</v>
      </c>
      <c r="H1044" s="611"/>
    </row>
    <row r="1045" spans="1:8" ht="15.75">
      <c r="A1045" s="608" t="s">
        <v>653</v>
      </c>
      <c r="B1045" s="613" t="s">
        <v>654</v>
      </c>
      <c r="C1045" s="610" t="s">
        <v>717</v>
      </c>
      <c r="D1045" s="610" t="s">
        <v>711</v>
      </c>
      <c r="E1045" s="610" t="s">
        <v>379</v>
      </c>
      <c r="F1045" s="610" t="s">
        <v>379</v>
      </c>
      <c r="G1045" s="614">
        <v>0</v>
      </c>
      <c r="H1045" s="611"/>
    </row>
    <row r="1046" spans="1:8" ht="12.75" customHeight="1">
      <c r="A1046" s="608">
        <v>4</v>
      </c>
      <c r="B1046" s="706" t="s">
        <v>656</v>
      </c>
      <c r="C1046" s="706"/>
      <c r="D1046" s="706"/>
      <c r="E1046" s="706"/>
      <c r="F1046" s="706"/>
      <c r="G1046" s="706"/>
      <c r="H1046" s="706"/>
    </row>
    <row r="1047" spans="1:8" ht="31.5">
      <c r="A1047" s="608" t="s">
        <v>657</v>
      </c>
      <c r="B1047" s="612" t="s">
        <v>658</v>
      </c>
      <c r="C1047" s="610" t="s">
        <v>379</v>
      </c>
      <c r="D1047" s="610" t="s">
        <v>379</v>
      </c>
      <c r="E1047" s="610" t="s">
        <v>379</v>
      </c>
      <c r="F1047" s="610" t="s">
        <v>379</v>
      </c>
      <c r="G1047" s="610" t="s">
        <v>379</v>
      </c>
      <c r="H1047" s="611" t="s">
        <v>626</v>
      </c>
    </row>
    <row r="1048" spans="1:8" ht="47.25">
      <c r="A1048" s="608" t="s">
        <v>659</v>
      </c>
      <c r="B1048" s="612" t="s">
        <v>660</v>
      </c>
      <c r="C1048" s="610" t="s">
        <v>379</v>
      </c>
      <c r="D1048" s="610" t="s">
        <v>379</v>
      </c>
      <c r="E1048" s="610" t="s">
        <v>379</v>
      </c>
      <c r="F1048" s="610" t="s">
        <v>379</v>
      </c>
      <c r="G1048" s="610" t="s">
        <v>379</v>
      </c>
      <c r="H1048" s="611" t="s">
        <v>626</v>
      </c>
    </row>
    <row r="1049" spans="1:8" ht="31.5">
      <c r="A1049" s="608" t="s">
        <v>661</v>
      </c>
      <c r="B1049" s="613" t="s">
        <v>662</v>
      </c>
      <c r="C1049" s="610" t="s">
        <v>379</v>
      </c>
      <c r="D1049" s="610" t="s">
        <v>379</v>
      </c>
      <c r="E1049" s="610" t="s">
        <v>379</v>
      </c>
      <c r="F1049" s="610" t="s">
        <v>379</v>
      </c>
      <c r="G1049" s="610" t="s">
        <v>379</v>
      </c>
      <c r="H1049" s="611" t="s">
        <v>626</v>
      </c>
    </row>
    <row r="1050" spans="1:8" ht="31.5">
      <c r="A1050" s="615" t="s">
        <v>663</v>
      </c>
      <c r="B1050" s="616" t="s">
        <v>664</v>
      </c>
      <c r="C1050" s="617" t="s">
        <v>379</v>
      </c>
      <c r="D1050" s="617" t="s">
        <v>379</v>
      </c>
      <c r="E1050" s="617" t="s">
        <v>379</v>
      </c>
      <c r="F1050" s="617" t="s">
        <v>379</v>
      </c>
      <c r="G1050" s="617" t="s">
        <v>379</v>
      </c>
      <c r="H1050" s="618" t="s">
        <v>626</v>
      </c>
    </row>
    <row r="1051" spans="1:8" ht="15.75">
      <c r="A1051" s="619"/>
      <c r="B1051" s="620"/>
      <c r="C1051" s="621"/>
      <c r="D1051" s="621"/>
      <c r="E1051" s="621"/>
      <c r="F1051" s="621"/>
      <c r="G1051" s="621"/>
      <c r="H1051" s="148"/>
    </row>
    <row r="1052" spans="1:8" ht="12.75" customHeight="1">
      <c r="A1052" s="707" t="s">
        <v>665</v>
      </c>
      <c r="B1052" s="707"/>
      <c r="C1052" s="707"/>
      <c r="D1052" s="707"/>
      <c r="E1052" s="707"/>
      <c r="F1052" s="707"/>
      <c r="G1052" s="707"/>
      <c r="H1052" s="707"/>
    </row>
    <row r="1055" ht="15.75">
      <c r="H1055" s="11" t="s">
        <v>609</v>
      </c>
    </row>
    <row r="1056" ht="15.75">
      <c r="H1056" s="11" t="s">
        <v>610</v>
      </c>
    </row>
    <row r="1057" ht="15.75">
      <c r="H1057" s="11" t="s">
        <v>611</v>
      </c>
    </row>
    <row r="1058" ht="15.75">
      <c r="H1058" s="11"/>
    </row>
    <row r="1059" spans="1:8" ht="12.75" customHeight="1">
      <c r="A1059" s="713" t="s">
        <v>612</v>
      </c>
      <c r="B1059" s="713"/>
      <c r="C1059" s="713"/>
      <c r="D1059" s="713"/>
      <c r="E1059" s="713"/>
      <c r="F1059" s="713"/>
      <c r="G1059" s="713"/>
      <c r="H1059" s="713"/>
    </row>
    <row r="1060" spans="1:8" ht="12.75" customHeight="1">
      <c r="A1060" s="713" t="s">
        <v>613</v>
      </c>
      <c r="B1060" s="713"/>
      <c r="C1060" s="713"/>
      <c r="D1060" s="713"/>
      <c r="E1060" s="713"/>
      <c r="F1060" s="713"/>
      <c r="G1060" s="713"/>
      <c r="H1060" s="713"/>
    </row>
    <row r="1061" ht="15.75">
      <c r="H1061" s="11" t="s">
        <v>43</v>
      </c>
    </row>
    <row r="1062" ht="15.75">
      <c r="H1062" s="11" t="s">
        <v>44</v>
      </c>
    </row>
    <row r="1063" ht="15.75">
      <c r="H1063" s="11" t="s">
        <v>45</v>
      </c>
    </row>
    <row r="1064" ht="15.75">
      <c r="H1064" s="594" t="s">
        <v>614</v>
      </c>
    </row>
    <row r="1065" ht="15.75">
      <c r="H1065" s="11" t="s">
        <v>615</v>
      </c>
    </row>
    <row r="1066" ht="15.75">
      <c r="H1066" s="11" t="s">
        <v>47</v>
      </c>
    </row>
    <row r="1067" ht="15.75">
      <c r="A1067" s="595"/>
    </row>
    <row r="1068" ht="15.75">
      <c r="A1068" s="3" t="s">
        <v>731</v>
      </c>
    </row>
    <row r="1069" spans="1:8" ht="12.75" customHeight="1">
      <c r="A1069" s="717" t="s">
        <v>0</v>
      </c>
      <c r="B1069" s="714"/>
      <c r="C1069" s="714"/>
      <c r="D1069" s="714"/>
      <c r="E1069" s="714"/>
      <c r="F1069" s="714"/>
      <c r="G1069" s="714"/>
      <c r="H1069" s="714"/>
    </row>
    <row r="1070" spans="1:8" ht="16.5" thickBot="1">
      <c r="A1070" s="597"/>
      <c r="B1070" s="597"/>
      <c r="C1070" s="598"/>
      <c r="D1070" s="598"/>
      <c r="E1070" s="598"/>
      <c r="F1070" s="598"/>
      <c r="G1070" s="598"/>
      <c r="H1070" s="598"/>
    </row>
    <row r="1071" spans="1:8" ht="12.75" customHeight="1">
      <c r="A1071" s="708" t="s">
        <v>617</v>
      </c>
      <c r="B1071" s="710" t="s">
        <v>618</v>
      </c>
      <c r="C1071" s="711" t="s">
        <v>619</v>
      </c>
      <c r="D1071" s="711"/>
      <c r="E1071" s="711"/>
      <c r="F1071" s="711"/>
      <c r="G1071" s="712" t="s">
        <v>620</v>
      </c>
      <c r="H1071" s="708" t="s">
        <v>621</v>
      </c>
    </row>
    <row r="1072" spans="1:8" ht="15.75">
      <c r="A1072" s="708"/>
      <c r="B1072" s="710"/>
      <c r="C1072" s="711"/>
      <c r="D1072" s="711"/>
      <c r="E1072" s="711"/>
      <c r="F1072" s="711"/>
      <c r="G1072" s="712"/>
      <c r="H1072" s="708"/>
    </row>
    <row r="1073" spans="1:8" ht="31.5">
      <c r="A1073" s="708"/>
      <c r="B1073" s="710"/>
      <c r="C1073" s="601" t="s">
        <v>622</v>
      </c>
      <c r="D1073" s="601" t="s">
        <v>623</v>
      </c>
      <c r="E1073" s="602" t="s">
        <v>622</v>
      </c>
      <c r="F1073" s="603" t="s">
        <v>623</v>
      </c>
      <c r="G1073" s="712"/>
      <c r="H1073" s="708"/>
    </row>
    <row r="1074" spans="1:8" ht="15.75">
      <c r="A1074" s="599">
        <v>1</v>
      </c>
      <c r="B1074" s="599">
        <v>2</v>
      </c>
      <c r="C1074" s="604">
        <v>3</v>
      </c>
      <c r="D1074" s="604">
        <v>4</v>
      </c>
      <c r="E1074" s="605"/>
      <c r="F1074" s="606"/>
      <c r="G1074" s="600">
        <v>5</v>
      </c>
      <c r="H1074" s="599">
        <v>6</v>
      </c>
    </row>
    <row r="1075" spans="1:8" ht="12.75" customHeight="1">
      <c r="A1075" s="607">
        <v>1</v>
      </c>
      <c r="B1075" s="709" t="s">
        <v>624</v>
      </c>
      <c r="C1075" s="709"/>
      <c r="D1075" s="709"/>
      <c r="E1075" s="709"/>
      <c r="F1075" s="709"/>
      <c r="G1075" s="709"/>
      <c r="H1075" s="709"/>
    </row>
    <row r="1076" spans="1:8" ht="15.75">
      <c r="A1076" s="608" t="s">
        <v>74</v>
      </c>
      <c r="B1076" s="609" t="s">
        <v>625</v>
      </c>
      <c r="C1076" s="610" t="s">
        <v>379</v>
      </c>
      <c r="D1076" s="610" t="s">
        <v>379</v>
      </c>
      <c r="E1076" s="610" t="s">
        <v>379</v>
      </c>
      <c r="F1076" s="610" t="s">
        <v>379</v>
      </c>
      <c r="G1076" s="610" t="s">
        <v>379</v>
      </c>
      <c r="H1076" s="611" t="s">
        <v>626</v>
      </c>
    </row>
    <row r="1077" spans="1:8" ht="15.75">
      <c r="A1077" s="608" t="s">
        <v>313</v>
      </c>
      <c r="B1077" s="609" t="s">
        <v>627</v>
      </c>
      <c r="C1077" s="610" t="s">
        <v>379</v>
      </c>
      <c r="D1077" s="610" t="s">
        <v>379</v>
      </c>
      <c r="E1077" s="610" t="s">
        <v>379</v>
      </c>
      <c r="F1077" s="610" t="s">
        <v>379</v>
      </c>
      <c r="G1077" s="610" t="s">
        <v>379</v>
      </c>
      <c r="H1077" s="611" t="s">
        <v>626</v>
      </c>
    </row>
    <row r="1078" spans="1:8" ht="31.5">
      <c r="A1078" s="608" t="s">
        <v>315</v>
      </c>
      <c r="B1078" s="612" t="s">
        <v>628</v>
      </c>
      <c r="C1078" s="610" t="s">
        <v>379</v>
      </c>
      <c r="D1078" s="610" t="s">
        <v>379</v>
      </c>
      <c r="E1078" s="610" t="s">
        <v>379</v>
      </c>
      <c r="F1078" s="610" t="s">
        <v>379</v>
      </c>
      <c r="G1078" s="610" t="s">
        <v>379</v>
      </c>
      <c r="H1078" s="611" t="s">
        <v>626</v>
      </c>
    </row>
    <row r="1079" spans="1:8" ht="47.25">
      <c r="A1079" s="608" t="s">
        <v>317</v>
      </c>
      <c r="B1079" s="612" t="s">
        <v>629</v>
      </c>
      <c r="C1079" s="610" t="s">
        <v>379</v>
      </c>
      <c r="D1079" s="610" t="s">
        <v>379</v>
      </c>
      <c r="E1079" s="610" t="s">
        <v>379</v>
      </c>
      <c r="F1079" s="610" t="s">
        <v>379</v>
      </c>
      <c r="G1079" s="610" t="s">
        <v>379</v>
      </c>
      <c r="H1079" s="611" t="s">
        <v>626</v>
      </c>
    </row>
    <row r="1080" spans="1:8" ht="15.75">
      <c r="A1080" s="608" t="s">
        <v>630</v>
      </c>
      <c r="B1080" s="613" t="s">
        <v>631</v>
      </c>
      <c r="C1080" s="610" t="s">
        <v>379</v>
      </c>
      <c r="D1080" s="610" t="s">
        <v>379</v>
      </c>
      <c r="E1080" s="610" t="s">
        <v>379</v>
      </c>
      <c r="F1080" s="610" t="s">
        <v>379</v>
      </c>
      <c r="G1080" s="610" t="s">
        <v>379</v>
      </c>
      <c r="H1080" s="611" t="s">
        <v>626</v>
      </c>
    </row>
    <row r="1081" spans="1:8" ht="15.75">
      <c r="A1081" s="608" t="s">
        <v>632</v>
      </c>
      <c r="B1081" s="613" t="s">
        <v>633</v>
      </c>
      <c r="C1081" s="610" t="s">
        <v>379</v>
      </c>
      <c r="D1081" s="610" t="s">
        <v>379</v>
      </c>
      <c r="E1081" s="610" t="s">
        <v>379</v>
      </c>
      <c r="F1081" s="610" t="s">
        <v>379</v>
      </c>
      <c r="G1081" s="610" t="s">
        <v>379</v>
      </c>
      <c r="H1081" s="611" t="s">
        <v>626</v>
      </c>
    </row>
    <row r="1082" spans="1:8" ht="12.75" customHeight="1">
      <c r="A1082" s="608">
        <v>2</v>
      </c>
      <c r="B1082" s="706" t="s">
        <v>634</v>
      </c>
      <c r="C1082" s="706"/>
      <c r="D1082" s="706"/>
      <c r="E1082" s="706"/>
      <c r="F1082" s="706"/>
      <c r="G1082" s="706"/>
      <c r="H1082" s="706"/>
    </row>
    <row r="1083" spans="1:8" ht="31.5">
      <c r="A1083" s="608" t="s">
        <v>321</v>
      </c>
      <c r="B1083" s="612" t="s">
        <v>635</v>
      </c>
      <c r="C1083" s="610" t="s">
        <v>710</v>
      </c>
      <c r="D1083" s="610" t="s">
        <v>711</v>
      </c>
      <c r="E1083" s="610" t="s">
        <v>379</v>
      </c>
      <c r="F1083" s="610" t="s">
        <v>379</v>
      </c>
      <c r="G1083" s="614">
        <v>0</v>
      </c>
      <c r="H1083" s="611"/>
    </row>
    <row r="1084" spans="1:8" ht="47.25">
      <c r="A1084" s="608" t="s">
        <v>325</v>
      </c>
      <c r="B1084" s="612" t="s">
        <v>638</v>
      </c>
      <c r="C1084" s="610" t="s">
        <v>379</v>
      </c>
      <c r="D1084" s="610" t="s">
        <v>379</v>
      </c>
      <c r="E1084" s="610" t="s">
        <v>379</v>
      </c>
      <c r="F1084" s="610" t="s">
        <v>379</v>
      </c>
      <c r="G1084" s="610" t="s">
        <v>379</v>
      </c>
      <c r="H1084" s="611" t="s">
        <v>626</v>
      </c>
    </row>
    <row r="1085" spans="1:8" ht="31.5">
      <c r="A1085" s="608" t="s">
        <v>639</v>
      </c>
      <c r="B1085" s="612" t="s">
        <v>640</v>
      </c>
      <c r="C1085" s="610" t="s">
        <v>379</v>
      </c>
      <c r="D1085" s="610" t="s">
        <v>379</v>
      </c>
      <c r="E1085" s="610" t="s">
        <v>379</v>
      </c>
      <c r="F1085" s="610" t="s">
        <v>379</v>
      </c>
      <c r="G1085" s="610" t="s">
        <v>379</v>
      </c>
      <c r="H1085" s="611" t="s">
        <v>626</v>
      </c>
    </row>
    <row r="1086" spans="1:8" ht="12.75" customHeight="1">
      <c r="A1086" s="608">
        <v>3</v>
      </c>
      <c r="B1086" s="706" t="s">
        <v>674</v>
      </c>
      <c r="C1086" s="706"/>
      <c r="D1086" s="706"/>
      <c r="E1086" s="706"/>
      <c r="F1086" s="706"/>
      <c r="G1086" s="706"/>
      <c r="H1086" s="706"/>
    </row>
    <row r="1087" spans="1:8" ht="31.5">
      <c r="A1087" s="608" t="s">
        <v>378</v>
      </c>
      <c r="B1087" s="613" t="s">
        <v>642</v>
      </c>
      <c r="C1087" s="610" t="s">
        <v>379</v>
      </c>
      <c r="D1087" s="610" t="s">
        <v>379</v>
      </c>
      <c r="E1087" s="610" t="s">
        <v>379</v>
      </c>
      <c r="F1087" s="610" t="s">
        <v>379</v>
      </c>
      <c r="G1087" s="610" t="s">
        <v>379</v>
      </c>
      <c r="H1087" s="611" t="s">
        <v>626</v>
      </c>
    </row>
    <row r="1088" spans="1:8" ht="15.75">
      <c r="A1088" s="608" t="s">
        <v>643</v>
      </c>
      <c r="B1088" s="613" t="s">
        <v>644</v>
      </c>
      <c r="C1088" s="610" t="s">
        <v>710</v>
      </c>
      <c r="D1088" s="610" t="s">
        <v>712</v>
      </c>
      <c r="E1088" s="610" t="s">
        <v>379</v>
      </c>
      <c r="F1088" s="610" t="s">
        <v>379</v>
      </c>
      <c r="G1088" s="614">
        <v>0</v>
      </c>
      <c r="H1088" s="611"/>
    </row>
    <row r="1089" spans="1:8" ht="15.75">
      <c r="A1089" s="608" t="s">
        <v>380</v>
      </c>
      <c r="B1089" s="613" t="s">
        <v>646</v>
      </c>
      <c r="C1089" s="610" t="s">
        <v>713</v>
      </c>
      <c r="D1089" s="610" t="s">
        <v>714</v>
      </c>
      <c r="E1089" s="610" t="s">
        <v>379</v>
      </c>
      <c r="F1089" s="610" t="s">
        <v>379</v>
      </c>
      <c r="G1089" s="614">
        <v>0</v>
      </c>
      <c r="H1089" s="611"/>
    </row>
    <row r="1090" spans="1:8" ht="15.75">
      <c r="A1090" s="608" t="s">
        <v>649</v>
      </c>
      <c r="B1090" s="613" t="s">
        <v>650</v>
      </c>
      <c r="C1090" s="610" t="s">
        <v>715</v>
      </c>
      <c r="D1090" s="610" t="s">
        <v>716</v>
      </c>
      <c r="E1090" s="610" t="s">
        <v>379</v>
      </c>
      <c r="F1090" s="610" t="s">
        <v>379</v>
      </c>
      <c r="G1090" s="614">
        <v>0</v>
      </c>
      <c r="H1090" s="611"/>
    </row>
    <row r="1091" spans="1:8" ht="15.75">
      <c r="A1091" s="608" t="s">
        <v>653</v>
      </c>
      <c r="B1091" s="613" t="s">
        <v>654</v>
      </c>
      <c r="C1091" s="610" t="s">
        <v>717</v>
      </c>
      <c r="D1091" s="610" t="s">
        <v>711</v>
      </c>
      <c r="E1091" s="610" t="s">
        <v>379</v>
      </c>
      <c r="F1091" s="610" t="s">
        <v>379</v>
      </c>
      <c r="G1091" s="614">
        <v>0</v>
      </c>
      <c r="H1091" s="611"/>
    </row>
    <row r="1092" spans="1:8" ht="12.75" customHeight="1">
      <c r="A1092" s="608">
        <v>4</v>
      </c>
      <c r="B1092" s="706" t="s">
        <v>656</v>
      </c>
      <c r="C1092" s="706"/>
      <c r="D1092" s="706"/>
      <c r="E1092" s="706"/>
      <c r="F1092" s="706"/>
      <c r="G1092" s="706"/>
      <c r="H1092" s="706"/>
    </row>
    <row r="1093" spans="1:8" ht="31.5">
      <c r="A1093" s="608" t="s">
        <v>657</v>
      </c>
      <c r="B1093" s="612" t="s">
        <v>658</v>
      </c>
      <c r="C1093" s="610" t="s">
        <v>379</v>
      </c>
      <c r="D1093" s="610" t="s">
        <v>379</v>
      </c>
      <c r="E1093" s="610" t="s">
        <v>379</v>
      </c>
      <c r="F1093" s="610" t="s">
        <v>379</v>
      </c>
      <c r="G1093" s="610" t="s">
        <v>379</v>
      </c>
      <c r="H1093" s="611" t="s">
        <v>626</v>
      </c>
    </row>
    <row r="1094" spans="1:8" ht="47.25">
      <c r="A1094" s="608" t="s">
        <v>659</v>
      </c>
      <c r="B1094" s="612" t="s">
        <v>660</v>
      </c>
      <c r="C1094" s="610" t="s">
        <v>379</v>
      </c>
      <c r="D1094" s="610" t="s">
        <v>379</v>
      </c>
      <c r="E1094" s="610" t="s">
        <v>379</v>
      </c>
      <c r="F1094" s="610" t="s">
        <v>379</v>
      </c>
      <c r="G1094" s="610" t="s">
        <v>379</v>
      </c>
      <c r="H1094" s="611" t="s">
        <v>626</v>
      </c>
    </row>
    <row r="1095" spans="1:8" ht="31.5">
      <c r="A1095" s="608" t="s">
        <v>661</v>
      </c>
      <c r="B1095" s="613" t="s">
        <v>662</v>
      </c>
      <c r="C1095" s="610" t="s">
        <v>379</v>
      </c>
      <c r="D1095" s="610" t="s">
        <v>379</v>
      </c>
      <c r="E1095" s="610" t="s">
        <v>379</v>
      </c>
      <c r="F1095" s="610" t="s">
        <v>379</v>
      </c>
      <c r="G1095" s="610" t="s">
        <v>379</v>
      </c>
      <c r="H1095" s="611" t="s">
        <v>626</v>
      </c>
    </row>
    <row r="1096" spans="1:8" ht="31.5">
      <c r="A1096" s="615" t="s">
        <v>663</v>
      </c>
      <c r="B1096" s="616" t="s">
        <v>664</v>
      </c>
      <c r="C1096" s="617" t="s">
        <v>379</v>
      </c>
      <c r="D1096" s="617" t="s">
        <v>379</v>
      </c>
      <c r="E1096" s="617" t="s">
        <v>379</v>
      </c>
      <c r="F1096" s="617" t="s">
        <v>379</v>
      </c>
      <c r="G1096" s="617" t="s">
        <v>379</v>
      </c>
      <c r="H1096" s="618" t="s">
        <v>626</v>
      </c>
    </row>
    <row r="1097" spans="1:8" ht="15.75">
      <c r="A1097" s="619"/>
      <c r="B1097" s="620"/>
      <c r="C1097" s="621"/>
      <c r="D1097" s="621"/>
      <c r="E1097" s="621"/>
      <c r="F1097" s="621"/>
      <c r="G1097" s="621"/>
      <c r="H1097" s="148"/>
    </row>
    <row r="1098" spans="1:8" ht="12.75" customHeight="1">
      <c r="A1098" s="707" t="s">
        <v>665</v>
      </c>
      <c r="B1098" s="707"/>
      <c r="C1098" s="707"/>
      <c r="D1098" s="707"/>
      <c r="E1098" s="707"/>
      <c r="F1098" s="707"/>
      <c r="G1098" s="707"/>
      <c r="H1098" s="707"/>
    </row>
    <row r="1101" ht="15.75">
      <c r="H1101" s="11" t="s">
        <v>609</v>
      </c>
    </row>
    <row r="1102" ht="15.75">
      <c r="H1102" s="11" t="s">
        <v>610</v>
      </c>
    </row>
    <row r="1103" ht="15.75">
      <c r="H1103" s="11" t="s">
        <v>611</v>
      </c>
    </row>
    <row r="1104" ht="15.75">
      <c r="H1104" s="11"/>
    </row>
    <row r="1105" spans="1:8" ht="12.75" customHeight="1">
      <c r="A1105" s="713" t="s">
        <v>612</v>
      </c>
      <c r="B1105" s="713"/>
      <c r="C1105" s="713"/>
      <c r="D1105" s="713"/>
      <c r="E1105" s="713"/>
      <c r="F1105" s="713"/>
      <c r="G1105" s="713"/>
      <c r="H1105" s="713"/>
    </row>
    <row r="1106" spans="1:8" ht="12.75" customHeight="1">
      <c r="A1106" s="713" t="s">
        <v>613</v>
      </c>
      <c r="B1106" s="713"/>
      <c r="C1106" s="713"/>
      <c r="D1106" s="713"/>
      <c r="E1106" s="713"/>
      <c r="F1106" s="713"/>
      <c r="G1106" s="713"/>
      <c r="H1106" s="713"/>
    </row>
    <row r="1107" ht="15.75">
      <c r="H1107" s="11" t="s">
        <v>43</v>
      </c>
    </row>
    <row r="1108" ht="15.75">
      <c r="H1108" s="11" t="s">
        <v>44</v>
      </c>
    </row>
    <row r="1109" ht="15.75">
      <c r="H1109" s="11" t="s">
        <v>45</v>
      </c>
    </row>
    <row r="1110" ht="15.75">
      <c r="H1110" s="594" t="s">
        <v>614</v>
      </c>
    </row>
    <row r="1111" ht="15.75">
      <c r="H1111" s="11" t="s">
        <v>615</v>
      </c>
    </row>
    <row r="1112" ht="15.75">
      <c r="H1112" s="11" t="s">
        <v>47</v>
      </c>
    </row>
    <row r="1113" ht="15.75">
      <c r="A1113" s="595"/>
    </row>
    <row r="1114" ht="15.75">
      <c r="A1114" s="3" t="s">
        <v>732</v>
      </c>
    </row>
    <row r="1115" spans="1:8" ht="12.75" customHeight="1">
      <c r="A1115" s="717" t="s">
        <v>0</v>
      </c>
      <c r="B1115" s="714"/>
      <c r="C1115" s="714"/>
      <c r="D1115" s="714"/>
      <c r="E1115" s="714"/>
      <c r="F1115" s="714"/>
      <c r="G1115" s="714"/>
      <c r="H1115" s="714"/>
    </row>
    <row r="1116" spans="1:8" ht="16.5" thickBot="1">
      <c r="A1116" s="597"/>
      <c r="B1116" s="597"/>
      <c r="C1116" s="598"/>
      <c r="D1116" s="598"/>
      <c r="E1116" s="598"/>
      <c r="F1116" s="598"/>
      <c r="G1116" s="598"/>
      <c r="H1116" s="598"/>
    </row>
    <row r="1117" spans="1:8" ht="12.75" customHeight="1">
      <c r="A1117" s="708" t="s">
        <v>617</v>
      </c>
      <c r="B1117" s="710" t="s">
        <v>618</v>
      </c>
      <c r="C1117" s="711" t="s">
        <v>619</v>
      </c>
      <c r="D1117" s="711"/>
      <c r="E1117" s="711"/>
      <c r="F1117" s="711"/>
      <c r="G1117" s="712" t="s">
        <v>620</v>
      </c>
      <c r="H1117" s="708" t="s">
        <v>621</v>
      </c>
    </row>
    <row r="1118" spans="1:8" ht="15.75">
      <c r="A1118" s="708"/>
      <c r="B1118" s="710"/>
      <c r="C1118" s="711"/>
      <c r="D1118" s="711"/>
      <c r="E1118" s="711"/>
      <c r="F1118" s="711"/>
      <c r="G1118" s="712"/>
      <c r="H1118" s="708"/>
    </row>
    <row r="1119" spans="1:8" ht="31.5">
      <c r="A1119" s="708"/>
      <c r="B1119" s="710"/>
      <c r="C1119" s="601" t="s">
        <v>622</v>
      </c>
      <c r="D1119" s="601" t="s">
        <v>623</v>
      </c>
      <c r="E1119" s="602" t="s">
        <v>622</v>
      </c>
      <c r="F1119" s="603" t="s">
        <v>623</v>
      </c>
      <c r="G1119" s="712"/>
      <c r="H1119" s="708"/>
    </row>
    <row r="1120" spans="1:8" ht="15.75">
      <c r="A1120" s="599">
        <v>1</v>
      </c>
      <c r="B1120" s="599">
        <v>2</v>
      </c>
      <c r="C1120" s="604">
        <v>3</v>
      </c>
      <c r="D1120" s="604">
        <v>4</v>
      </c>
      <c r="E1120" s="605"/>
      <c r="F1120" s="606"/>
      <c r="G1120" s="600">
        <v>5</v>
      </c>
      <c r="H1120" s="599">
        <v>6</v>
      </c>
    </row>
    <row r="1121" spans="1:8" ht="12.75" customHeight="1">
      <c r="A1121" s="607">
        <v>1</v>
      </c>
      <c r="B1121" s="709" t="s">
        <v>624</v>
      </c>
      <c r="C1121" s="709"/>
      <c r="D1121" s="709"/>
      <c r="E1121" s="709"/>
      <c r="F1121" s="709"/>
      <c r="G1121" s="709"/>
      <c r="H1121" s="709"/>
    </row>
    <row r="1122" spans="1:8" ht="15.75">
      <c r="A1122" s="608" t="s">
        <v>74</v>
      </c>
      <c r="B1122" s="609" t="s">
        <v>625</v>
      </c>
      <c r="C1122" s="610" t="s">
        <v>379</v>
      </c>
      <c r="D1122" s="610" t="s">
        <v>379</v>
      </c>
      <c r="E1122" s="610" t="s">
        <v>379</v>
      </c>
      <c r="F1122" s="610" t="s">
        <v>379</v>
      </c>
      <c r="G1122" s="610" t="s">
        <v>379</v>
      </c>
      <c r="H1122" s="611" t="s">
        <v>626</v>
      </c>
    </row>
    <row r="1123" spans="1:8" ht="15.75">
      <c r="A1123" s="608" t="s">
        <v>313</v>
      </c>
      <c r="B1123" s="609" t="s">
        <v>627</v>
      </c>
      <c r="C1123" s="610" t="s">
        <v>379</v>
      </c>
      <c r="D1123" s="610" t="s">
        <v>379</v>
      </c>
      <c r="E1123" s="610" t="s">
        <v>379</v>
      </c>
      <c r="F1123" s="610" t="s">
        <v>379</v>
      </c>
      <c r="G1123" s="610" t="s">
        <v>379</v>
      </c>
      <c r="H1123" s="611" t="s">
        <v>626</v>
      </c>
    </row>
    <row r="1124" spans="1:8" ht="31.5">
      <c r="A1124" s="608" t="s">
        <v>315</v>
      </c>
      <c r="B1124" s="612" t="s">
        <v>628</v>
      </c>
      <c r="C1124" s="610" t="s">
        <v>379</v>
      </c>
      <c r="D1124" s="610" t="s">
        <v>379</v>
      </c>
      <c r="E1124" s="610" t="s">
        <v>379</v>
      </c>
      <c r="F1124" s="610" t="s">
        <v>379</v>
      </c>
      <c r="G1124" s="610" t="s">
        <v>379</v>
      </c>
      <c r="H1124" s="611" t="s">
        <v>626</v>
      </c>
    </row>
    <row r="1125" spans="1:8" ht="47.25">
      <c r="A1125" s="608" t="s">
        <v>317</v>
      </c>
      <c r="B1125" s="612" t="s">
        <v>629</v>
      </c>
      <c r="C1125" s="610" t="s">
        <v>379</v>
      </c>
      <c r="D1125" s="610" t="s">
        <v>379</v>
      </c>
      <c r="E1125" s="610" t="s">
        <v>379</v>
      </c>
      <c r="F1125" s="610" t="s">
        <v>379</v>
      </c>
      <c r="G1125" s="610" t="s">
        <v>379</v>
      </c>
      <c r="H1125" s="611" t="s">
        <v>626</v>
      </c>
    </row>
    <row r="1126" spans="1:8" ht="15.75">
      <c r="A1126" s="608" t="s">
        <v>630</v>
      </c>
      <c r="B1126" s="613" t="s">
        <v>631</v>
      </c>
      <c r="C1126" s="610" t="s">
        <v>379</v>
      </c>
      <c r="D1126" s="610" t="s">
        <v>379</v>
      </c>
      <c r="E1126" s="610" t="s">
        <v>379</v>
      </c>
      <c r="F1126" s="610" t="s">
        <v>379</v>
      </c>
      <c r="G1126" s="610" t="s">
        <v>379</v>
      </c>
      <c r="H1126" s="611" t="s">
        <v>626</v>
      </c>
    </row>
    <row r="1127" spans="1:8" ht="15.75">
      <c r="A1127" s="608" t="s">
        <v>632</v>
      </c>
      <c r="B1127" s="613" t="s">
        <v>633</v>
      </c>
      <c r="C1127" s="610" t="s">
        <v>379</v>
      </c>
      <c r="D1127" s="610" t="s">
        <v>379</v>
      </c>
      <c r="E1127" s="610" t="s">
        <v>379</v>
      </c>
      <c r="F1127" s="610" t="s">
        <v>379</v>
      </c>
      <c r="G1127" s="610" t="s">
        <v>379</v>
      </c>
      <c r="H1127" s="611" t="s">
        <v>626</v>
      </c>
    </row>
    <row r="1128" spans="1:8" ht="12.75" customHeight="1">
      <c r="A1128" s="608">
        <v>2</v>
      </c>
      <c r="B1128" s="706" t="s">
        <v>634</v>
      </c>
      <c r="C1128" s="706"/>
      <c r="D1128" s="706"/>
      <c r="E1128" s="706"/>
      <c r="F1128" s="706"/>
      <c r="G1128" s="706"/>
      <c r="H1128" s="706"/>
    </row>
    <row r="1129" spans="1:8" ht="31.5">
      <c r="A1129" s="608" t="s">
        <v>321</v>
      </c>
      <c r="B1129" s="612" t="s">
        <v>635</v>
      </c>
      <c r="C1129" s="640" t="s">
        <v>710</v>
      </c>
      <c r="D1129" s="640" t="s">
        <v>755</v>
      </c>
      <c r="E1129" s="610" t="s">
        <v>379</v>
      </c>
      <c r="F1129" s="610" t="s">
        <v>379</v>
      </c>
      <c r="G1129" s="614">
        <v>0</v>
      </c>
      <c r="H1129" s="611"/>
    </row>
    <row r="1130" spans="1:8" ht="47.25">
      <c r="A1130" s="608" t="s">
        <v>325</v>
      </c>
      <c r="B1130" s="612" t="s">
        <v>638</v>
      </c>
      <c r="C1130" s="610" t="s">
        <v>379</v>
      </c>
      <c r="D1130" s="610" t="s">
        <v>379</v>
      </c>
      <c r="E1130" s="610" t="s">
        <v>379</v>
      </c>
      <c r="F1130" s="610" t="s">
        <v>379</v>
      </c>
      <c r="G1130" s="610" t="s">
        <v>379</v>
      </c>
      <c r="H1130" s="611" t="s">
        <v>626</v>
      </c>
    </row>
    <row r="1131" spans="1:8" ht="31.5">
      <c r="A1131" s="608" t="s">
        <v>639</v>
      </c>
      <c r="B1131" s="612" t="s">
        <v>640</v>
      </c>
      <c r="C1131" s="610" t="s">
        <v>379</v>
      </c>
      <c r="D1131" s="610" t="s">
        <v>379</v>
      </c>
      <c r="E1131" s="610" t="s">
        <v>379</v>
      </c>
      <c r="F1131" s="610" t="s">
        <v>379</v>
      </c>
      <c r="G1131" s="610" t="s">
        <v>379</v>
      </c>
      <c r="H1131" s="611" t="s">
        <v>626</v>
      </c>
    </row>
    <row r="1132" spans="1:8" ht="12.75" customHeight="1">
      <c r="A1132" s="608">
        <v>3</v>
      </c>
      <c r="B1132" s="706" t="s">
        <v>674</v>
      </c>
      <c r="C1132" s="706"/>
      <c r="D1132" s="706"/>
      <c r="E1132" s="706"/>
      <c r="F1132" s="706"/>
      <c r="G1132" s="706"/>
      <c r="H1132" s="706"/>
    </row>
    <row r="1133" spans="1:8" ht="31.5">
      <c r="A1133" s="608" t="s">
        <v>378</v>
      </c>
      <c r="B1133" s="613" t="s">
        <v>642</v>
      </c>
      <c r="C1133" s="610" t="s">
        <v>379</v>
      </c>
      <c r="D1133" s="610" t="s">
        <v>379</v>
      </c>
      <c r="E1133" s="610" t="s">
        <v>379</v>
      </c>
      <c r="F1133" s="610" t="s">
        <v>379</v>
      </c>
      <c r="G1133" s="610" t="s">
        <v>379</v>
      </c>
      <c r="H1133" s="611" t="s">
        <v>626</v>
      </c>
    </row>
    <row r="1134" spans="1:8" ht="15.75">
      <c r="A1134" s="608" t="s">
        <v>643</v>
      </c>
      <c r="B1134" s="613" t="s">
        <v>644</v>
      </c>
      <c r="C1134" s="610" t="s">
        <v>710</v>
      </c>
      <c r="D1134" s="640" t="s">
        <v>8</v>
      </c>
      <c r="E1134" s="610" t="s">
        <v>379</v>
      </c>
      <c r="F1134" s="610" t="s">
        <v>379</v>
      </c>
      <c r="G1134" s="614">
        <v>0</v>
      </c>
      <c r="H1134" s="611"/>
    </row>
    <row r="1135" spans="1:8" ht="15.75">
      <c r="A1135" s="608" t="s">
        <v>380</v>
      </c>
      <c r="B1135" s="613" t="s">
        <v>646</v>
      </c>
      <c r="C1135" s="610" t="s">
        <v>713</v>
      </c>
      <c r="D1135" s="640" t="s">
        <v>894</v>
      </c>
      <c r="E1135" s="610" t="s">
        <v>379</v>
      </c>
      <c r="F1135" s="610" t="s">
        <v>379</v>
      </c>
      <c r="G1135" s="614">
        <v>0</v>
      </c>
      <c r="H1135" s="611"/>
    </row>
    <row r="1136" spans="1:8" ht="15.75">
      <c r="A1136" s="608" t="s">
        <v>649</v>
      </c>
      <c r="B1136" s="613" t="s">
        <v>650</v>
      </c>
      <c r="C1136" s="610" t="s">
        <v>715</v>
      </c>
      <c r="D1136" s="640" t="s">
        <v>9</v>
      </c>
      <c r="E1136" s="610" t="s">
        <v>379</v>
      </c>
      <c r="F1136" s="610" t="s">
        <v>379</v>
      </c>
      <c r="G1136" s="614">
        <v>0</v>
      </c>
      <c r="H1136" s="611"/>
    </row>
    <row r="1137" spans="1:8" ht="15.75">
      <c r="A1137" s="608" t="s">
        <v>653</v>
      </c>
      <c r="B1137" s="613" t="s">
        <v>654</v>
      </c>
      <c r="C1137" s="610" t="s">
        <v>717</v>
      </c>
      <c r="D1137" s="640" t="s">
        <v>10</v>
      </c>
      <c r="E1137" s="610" t="s">
        <v>379</v>
      </c>
      <c r="F1137" s="610" t="s">
        <v>379</v>
      </c>
      <c r="G1137" s="614">
        <v>0</v>
      </c>
      <c r="H1137" s="611"/>
    </row>
    <row r="1138" spans="1:8" ht="12.75" customHeight="1">
      <c r="A1138" s="608">
        <v>4</v>
      </c>
      <c r="B1138" s="706" t="s">
        <v>656</v>
      </c>
      <c r="C1138" s="706"/>
      <c r="D1138" s="706"/>
      <c r="E1138" s="706"/>
      <c r="F1138" s="706"/>
      <c r="G1138" s="706"/>
      <c r="H1138" s="706"/>
    </row>
    <row r="1139" spans="1:8" ht="31.5">
      <c r="A1139" s="608" t="s">
        <v>657</v>
      </c>
      <c r="B1139" s="612" t="s">
        <v>658</v>
      </c>
      <c r="C1139" s="610" t="s">
        <v>379</v>
      </c>
      <c r="D1139" s="610" t="s">
        <v>379</v>
      </c>
      <c r="E1139" s="610" t="s">
        <v>379</v>
      </c>
      <c r="F1139" s="610" t="s">
        <v>379</v>
      </c>
      <c r="G1139" s="610" t="s">
        <v>379</v>
      </c>
      <c r="H1139" s="611" t="s">
        <v>626</v>
      </c>
    </row>
    <row r="1140" spans="1:8" ht="47.25">
      <c r="A1140" s="608" t="s">
        <v>659</v>
      </c>
      <c r="B1140" s="612" t="s">
        <v>660</v>
      </c>
      <c r="C1140" s="610" t="s">
        <v>379</v>
      </c>
      <c r="D1140" s="610" t="s">
        <v>379</v>
      </c>
      <c r="E1140" s="610" t="s">
        <v>379</v>
      </c>
      <c r="F1140" s="610" t="s">
        <v>379</v>
      </c>
      <c r="G1140" s="610" t="s">
        <v>379</v>
      </c>
      <c r="H1140" s="611" t="s">
        <v>626</v>
      </c>
    </row>
    <row r="1141" spans="1:8" ht="31.5">
      <c r="A1141" s="608" t="s">
        <v>661</v>
      </c>
      <c r="B1141" s="613" t="s">
        <v>662</v>
      </c>
      <c r="C1141" s="610" t="s">
        <v>379</v>
      </c>
      <c r="D1141" s="610" t="s">
        <v>379</v>
      </c>
      <c r="E1141" s="610" t="s">
        <v>379</v>
      </c>
      <c r="F1141" s="610" t="s">
        <v>379</v>
      </c>
      <c r="G1141" s="610" t="s">
        <v>379</v>
      </c>
      <c r="H1141" s="611" t="s">
        <v>626</v>
      </c>
    </row>
    <row r="1142" spans="1:8" ht="31.5">
      <c r="A1142" s="615" t="s">
        <v>663</v>
      </c>
      <c r="B1142" s="616" t="s">
        <v>664</v>
      </c>
      <c r="C1142" s="617" t="s">
        <v>379</v>
      </c>
      <c r="D1142" s="617" t="s">
        <v>379</v>
      </c>
      <c r="E1142" s="617" t="s">
        <v>379</v>
      </c>
      <c r="F1142" s="617" t="s">
        <v>379</v>
      </c>
      <c r="G1142" s="617" t="s">
        <v>379</v>
      </c>
      <c r="H1142" s="618" t="s">
        <v>626</v>
      </c>
    </row>
    <row r="1143" spans="1:8" ht="15.75">
      <c r="A1143" s="619"/>
      <c r="B1143" s="620"/>
      <c r="C1143" s="621"/>
      <c r="D1143" s="621"/>
      <c r="E1143" s="621"/>
      <c r="F1143" s="621"/>
      <c r="G1143" s="621"/>
      <c r="H1143" s="148"/>
    </row>
    <row r="1144" spans="1:8" ht="12.75" customHeight="1">
      <c r="A1144" s="707" t="s">
        <v>665</v>
      </c>
      <c r="B1144" s="707"/>
      <c r="C1144" s="707"/>
      <c r="D1144" s="707"/>
      <c r="E1144" s="707"/>
      <c r="F1144" s="707"/>
      <c r="G1144" s="707"/>
      <c r="H1144" s="707"/>
    </row>
    <row r="1147" ht="15.75">
      <c r="H1147" s="11" t="s">
        <v>609</v>
      </c>
    </row>
    <row r="1148" ht="15.75">
      <c r="H1148" s="11" t="s">
        <v>610</v>
      </c>
    </row>
    <row r="1149" ht="15.75">
      <c r="H1149" s="11" t="s">
        <v>611</v>
      </c>
    </row>
    <row r="1150" ht="15.75">
      <c r="H1150" s="11"/>
    </row>
    <row r="1151" spans="1:8" ht="12.75" customHeight="1">
      <c r="A1151" s="713" t="s">
        <v>612</v>
      </c>
      <c r="B1151" s="713"/>
      <c r="C1151" s="713"/>
      <c r="D1151" s="713"/>
      <c r="E1151" s="713"/>
      <c r="F1151" s="713"/>
      <c r="G1151" s="713"/>
      <c r="H1151" s="713"/>
    </row>
    <row r="1152" spans="1:8" ht="12.75" customHeight="1">
      <c r="A1152" s="713" t="s">
        <v>613</v>
      </c>
      <c r="B1152" s="713"/>
      <c r="C1152" s="713"/>
      <c r="D1152" s="713"/>
      <c r="E1152" s="713"/>
      <c r="F1152" s="713"/>
      <c r="G1152" s="713"/>
      <c r="H1152" s="713"/>
    </row>
    <row r="1153" ht="15.75">
      <c r="H1153" s="11" t="s">
        <v>43</v>
      </c>
    </row>
    <row r="1154" ht="15.75">
      <c r="H1154" s="11" t="s">
        <v>44</v>
      </c>
    </row>
    <row r="1155" ht="15.75">
      <c r="H1155" s="11" t="s">
        <v>45</v>
      </c>
    </row>
    <row r="1156" ht="15.75">
      <c r="H1156" s="594" t="s">
        <v>614</v>
      </c>
    </row>
    <row r="1157" ht="15.75">
      <c r="H1157" s="11" t="s">
        <v>615</v>
      </c>
    </row>
    <row r="1158" ht="15.75">
      <c r="H1158" s="11" t="s">
        <v>47</v>
      </c>
    </row>
    <row r="1159" ht="15.75">
      <c r="A1159" s="595"/>
    </row>
    <row r="1160" ht="15.75">
      <c r="A1160" s="3" t="s">
        <v>733</v>
      </c>
    </row>
    <row r="1161" spans="1:8" ht="12.75" customHeight="1">
      <c r="A1161" s="717" t="s">
        <v>0</v>
      </c>
      <c r="B1161" s="714"/>
      <c r="C1161" s="714"/>
      <c r="D1161" s="714"/>
      <c r="E1161" s="714"/>
      <c r="F1161" s="714"/>
      <c r="G1161" s="714"/>
      <c r="H1161" s="714"/>
    </row>
    <row r="1162" spans="1:8" ht="16.5" thickBot="1">
      <c r="A1162" s="597"/>
      <c r="B1162" s="597"/>
      <c r="C1162" s="598"/>
      <c r="D1162" s="598"/>
      <c r="E1162" s="598"/>
      <c r="F1162" s="598"/>
      <c r="G1162" s="598"/>
      <c r="H1162" s="598"/>
    </row>
    <row r="1163" spans="1:8" ht="12.75" customHeight="1">
      <c r="A1163" s="708" t="s">
        <v>617</v>
      </c>
      <c r="B1163" s="710" t="s">
        <v>618</v>
      </c>
      <c r="C1163" s="711" t="s">
        <v>619</v>
      </c>
      <c r="D1163" s="711"/>
      <c r="E1163" s="711"/>
      <c r="F1163" s="711"/>
      <c r="G1163" s="712" t="s">
        <v>620</v>
      </c>
      <c r="H1163" s="708" t="s">
        <v>621</v>
      </c>
    </row>
    <row r="1164" spans="1:8" ht="15.75">
      <c r="A1164" s="708"/>
      <c r="B1164" s="710"/>
      <c r="C1164" s="711"/>
      <c r="D1164" s="711"/>
      <c r="E1164" s="711"/>
      <c r="F1164" s="711"/>
      <c r="G1164" s="712"/>
      <c r="H1164" s="708"/>
    </row>
    <row r="1165" spans="1:8" ht="31.5">
      <c r="A1165" s="708"/>
      <c r="B1165" s="710"/>
      <c r="C1165" s="601" t="s">
        <v>622</v>
      </c>
      <c r="D1165" s="601" t="s">
        <v>623</v>
      </c>
      <c r="E1165" s="602" t="s">
        <v>622</v>
      </c>
      <c r="F1165" s="603" t="s">
        <v>623</v>
      </c>
      <c r="G1165" s="712"/>
      <c r="H1165" s="708"/>
    </row>
    <row r="1166" spans="1:8" ht="15.75">
      <c r="A1166" s="599">
        <v>1</v>
      </c>
      <c r="B1166" s="599">
        <v>2</v>
      </c>
      <c r="C1166" s="604">
        <v>3</v>
      </c>
      <c r="D1166" s="604">
        <v>4</v>
      </c>
      <c r="E1166" s="605"/>
      <c r="F1166" s="606"/>
      <c r="G1166" s="600">
        <v>5</v>
      </c>
      <c r="H1166" s="599">
        <v>6</v>
      </c>
    </row>
    <row r="1167" spans="1:8" ht="12.75" customHeight="1">
      <c r="A1167" s="607">
        <v>1</v>
      </c>
      <c r="B1167" s="709" t="s">
        <v>624</v>
      </c>
      <c r="C1167" s="709"/>
      <c r="D1167" s="709"/>
      <c r="E1167" s="709"/>
      <c r="F1167" s="709"/>
      <c r="G1167" s="709"/>
      <c r="H1167" s="709"/>
    </row>
    <row r="1168" spans="1:8" ht="15.75">
      <c r="A1168" s="608" t="s">
        <v>74</v>
      </c>
      <c r="B1168" s="609" t="s">
        <v>625</v>
      </c>
      <c r="C1168" s="610" t="s">
        <v>379</v>
      </c>
      <c r="D1168" s="610" t="s">
        <v>379</v>
      </c>
      <c r="E1168" s="610" t="s">
        <v>379</v>
      </c>
      <c r="F1168" s="610" t="s">
        <v>379</v>
      </c>
      <c r="G1168" s="610" t="s">
        <v>379</v>
      </c>
      <c r="H1168" s="611" t="s">
        <v>626</v>
      </c>
    </row>
    <row r="1169" spans="1:8" ht="15.75">
      <c r="A1169" s="608" t="s">
        <v>313</v>
      </c>
      <c r="B1169" s="609" t="s">
        <v>627</v>
      </c>
      <c r="C1169" s="610" t="s">
        <v>379</v>
      </c>
      <c r="D1169" s="610" t="s">
        <v>379</v>
      </c>
      <c r="E1169" s="610" t="s">
        <v>379</v>
      </c>
      <c r="F1169" s="610" t="s">
        <v>379</v>
      </c>
      <c r="G1169" s="610" t="s">
        <v>379</v>
      </c>
      <c r="H1169" s="611" t="s">
        <v>626</v>
      </c>
    </row>
    <row r="1170" spans="1:8" ht="31.5">
      <c r="A1170" s="608" t="s">
        <v>315</v>
      </c>
      <c r="B1170" s="612" t="s">
        <v>628</v>
      </c>
      <c r="C1170" s="610" t="s">
        <v>379</v>
      </c>
      <c r="D1170" s="610" t="s">
        <v>379</v>
      </c>
      <c r="E1170" s="610" t="s">
        <v>379</v>
      </c>
      <c r="F1170" s="610" t="s">
        <v>379</v>
      </c>
      <c r="G1170" s="610" t="s">
        <v>379</v>
      </c>
      <c r="H1170" s="611" t="s">
        <v>626</v>
      </c>
    </row>
    <row r="1171" spans="1:8" ht="47.25">
      <c r="A1171" s="608" t="s">
        <v>317</v>
      </c>
      <c r="B1171" s="612" t="s">
        <v>629</v>
      </c>
      <c r="C1171" s="610" t="s">
        <v>379</v>
      </c>
      <c r="D1171" s="610" t="s">
        <v>379</v>
      </c>
      <c r="E1171" s="610" t="s">
        <v>379</v>
      </c>
      <c r="F1171" s="610" t="s">
        <v>379</v>
      </c>
      <c r="G1171" s="610" t="s">
        <v>379</v>
      </c>
      <c r="H1171" s="611" t="s">
        <v>626</v>
      </c>
    </row>
    <row r="1172" spans="1:8" ht="15.75">
      <c r="A1172" s="608" t="s">
        <v>630</v>
      </c>
      <c r="B1172" s="613" t="s">
        <v>631</v>
      </c>
      <c r="C1172" s="610" t="s">
        <v>379</v>
      </c>
      <c r="D1172" s="610" t="s">
        <v>379</v>
      </c>
      <c r="E1172" s="610" t="s">
        <v>379</v>
      </c>
      <c r="F1172" s="610" t="s">
        <v>379</v>
      </c>
      <c r="G1172" s="610" t="s">
        <v>379</v>
      </c>
      <c r="H1172" s="611" t="s">
        <v>626</v>
      </c>
    </row>
    <row r="1173" spans="1:8" ht="15.75">
      <c r="A1173" s="608" t="s">
        <v>632</v>
      </c>
      <c r="B1173" s="613" t="s">
        <v>633</v>
      </c>
      <c r="C1173" s="610" t="s">
        <v>379</v>
      </c>
      <c r="D1173" s="610" t="s">
        <v>379</v>
      </c>
      <c r="E1173" s="610" t="s">
        <v>379</v>
      </c>
      <c r="F1173" s="610" t="s">
        <v>379</v>
      </c>
      <c r="G1173" s="610" t="s">
        <v>379</v>
      </c>
      <c r="H1173" s="611" t="s">
        <v>626</v>
      </c>
    </row>
    <row r="1174" spans="1:8" ht="12.75" customHeight="1">
      <c r="A1174" s="608">
        <v>2</v>
      </c>
      <c r="B1174" s="706" t="s">
        <v>634</v>
      </c>
      <c r="C1174" s="706"/>
      <c r="D1174" s="706"/>
      <c r="E1174" s="706"/>
      <c r="F1174" s="706"/>
      <c r="G1174" s="706"/>
      <c r="H1174" s="706"/>
    </row>
    <row r="1175" spans="1:8" ht="31.5">
      <c r="A1175" s="608" t="s">
        <v>321</v>
      </c>
      <c r="B1175" s="612" t="s">
        <v>635</v>
      </c>
      <c r="C1175" s="610" t="s">
        <v>636</v>
      </c>
      <c r="D1175" s="610" t="s">
        <v>670</v>
      </c>
      <c r="E1175" s="610" t="s">
        <v>379</v>
      </c>
      <c r="F1175" s="610" t="s">
        <v>379</v>
      </c>
      <c r="G1175" s="614">
        <v>0</v>
      </c>
      <c r="H1175" s="611"/>
    </row>
    <row r="1176" spans="1:8" ht="47.25">
      <c r="A1176" s="608" t="s">
        <v>325</v>
      </c>
      <c r="B1176" s="612" t="s">
        <v>638</v>
      </c>
      <c r="C1176" s="610" t="s">
        <v>379</v>
      </c>
      <c r="D1176" s="610" t="s">
        <v>379</v>
      </c>
      <c r="E1176" s="610" t="s">
        <v>379</v>
      </c>
      <c r="F1176" s="610" t="s">
        <v>379</v>
      </c>
      <c r="G1176" s="610" t="s">
        <v>379</v>
      </c>
      <c r="H1176" s="611" t="s">
        <v>626</v>
      </c>
    </row>
    <row r="1177" spans="1:8" ht="31.5">
      <c r="A1177" s="608" t="s">
        <v>639</v>
      </c>
      <c r="B1177" s="612" t="s">
        <v>640</v>
      </c>
      <c r="C1177" s="610" t="s">
        <v>379</v>
      </c>
      <c r="D1177" s="610" t="s">
        <v>379</v>
      </c>
      <c r="E1177" s="610" t="s">
        <v>379</v>
      </c>
      <c r="F1177" s="610" t="s">
        <v>379</v>
      </c>
      <c r="G1177" s="610" t="s">
        <v>379</v>
      </c>
      <c r="H1177" s="611" t="s">
        <v>626</v>
      </c>
    </row>
    <row r="1178" spans="1:8" ht="12.75" customHeight="1">
      <c r="A1178" s="608">
        <v>3</v>
      </c>
      <c r="B1178" s="706" t="s">
        <v>674</v>
      </c>
      <c r="C1178" s="706"/>
      <c r="D1178" s="706"/>
      <c r="E1178" s="706"/>
      <c r="F1178" s="706"/>
      <c r="G1178" s="706"/>
      <c r="H1178" s="706"/>
    </row>
    <row r="1179" spans="1:8" ht="31.5">
      <c r="A1179" s="608" t="s">
        <v>378</v>
      </c>
      <c r="B1179" s="613" t="s">
        <v>642</v>
      </c>
      <c r="C1179" s="610" t="s">
        <v>379</v>
      </c>
      <c r="D1179" s="610" t="s">
        <v>379</v>
      </c>
      <c r="E1179" s="610" t="s">
        <v>379</v>
      </c>
      <c r="F1179" s="610" t="s">
        <v>379</v>
      </c>
      <c r="G1179" s="610" t="s">
        <v>379</v>
      </c>
      <c r="H1179" s="611" t="s">
        <v>626</v>
      </c>
    </row>
    <row r="1180" spans="1:8" ht="15.75">
      <c r="A1180" s="608" t="s">
        <v>643</v>
      </c>
      <c r="B1180" s="613" t="s">
        <v>644</v>
      </c>
      <c r="C1180" s="610" t="s">
        <v>636</v>
      </c>
      <c r="D1180" s="610" t="s">
        <v>671</v>
      </c>
      <c r="E1180" s="610" t="s">
        <v>379</v>
      </c>
      <c r="F1180" s="610" t="s">
        <v>379</v>
      </c>
      <c r="G1180" s="614">
        <v>0</v>
      </c>
      <c r="H1180" s="611"/>
    </row>
    <row r="1181" spans="1:8" ht="15.75">
      <c r="A1181" s="608" t="s">
        <v>380</v>
      </c>
      <c r="B1181" s="613" t="s">
        <v>646</v>
      </c>
      <c r="C1181" s="610" t="s">
        <v>647</v>
      </c>
      <c r="D1181" s="610" t="s">
        <v>651</v>
      </c>
      <c r="E1181" s="610" t="s">
        <v>379</v>
      </c>
      <c r="F1181" s="610" t="s">
        <v>379</v>
      </c>
      <c r="G1181" s="614">
        <v>0</v>
      </c>
      <c r="H1181" s="611"/>
    </row>
    <row r="1182" spans="1:8" ht="15.75">
      <c r="A1182" s="608" t="s">
        <v>649</v>
      </c>
      <c r="B1182" s="613" t="s">
        <v>650</v>
      </c>
      <c r="C1182" s="610" t="s">
        <v>651</v>
      </c>
      <c r="D1182" s="610" t="s">
        <v>672</v>
      </c>
      <c r="E1182" s="610" t="s">
        <v>379</v>
      </c>
      <c r="F1182" s="610" t="s">
        <v>379</v>
      </c>
      <c r="G1182" s="614">
        <v>0</v>
      </c>
      <c r="H1182" s="611"/>
    </row>
    <row r="1183" spans="1:8" ht="15.75">
      <c r="A1183" s="608" t="s">
        <v>653</v>
      </c>
      <c r="B1183" s="613" t="s">
        <v>654</v>
      </c>
      <c r="C1183" s="610" t="s">
        <v>672</v>
      </c>
      <c r="D1183" s="610" t="s">
        <v>670</v>
      </c>
      <c r="E1183" s="610" t="s">
        <v>379</v>
      </c>
      <c r="F1183" s="610" t="s">
        <v>379</v>
      </c>
      <c r="G1183" s="614">
        <v>0</v>
      </c>
      <c r="H1183" s="611"/>
    </row>
    <row r="1184" spans="1:8" ht="12.75" customHeight="1">
      <c r="A1184" s="608">
        <v>4</v>
      </c>
      <c r="B1184" s="706" t="s">
        <v>656</v>
      </c>
      <c r="C1184" s="706"/>
      <c r="D1184" s="706"/>
      <c r="E1184" s="706"/>
      <c r="F1184" s="706"/>
      <c r="G1184" s="706"/>
      <c r="H1184" s="706"/>
    </row>
    <row r="1185" spans="1:8" ht="31.5">
      <c r="A1185" s="608" t="s">
        <v>657</v>
      </c>
      <c r="B1185" s="612" t="s">
        <v>658</v>
      </c>
      <c r="C1185" s="610" t="s">
        <v>379</v>
      </c>
      <c r="D1185" s="610" t="s">
        <v>379</v>
      </c>
      <c r="E1185" s="610" t="s">
        <v>379</v>
      </c>
      <c r="F1185" s="610" t="s">
        <v>379</v>
      </c>
      <c r="G1185" s="610" t="s">
        <v>379</v>
      </c>
      <c r="H1185" s="611" t="s">
        <v>626</v>
      </c>
    </row>
    <row r="1186" spans="1:8" ht="47.25">
      <c r="A1186" s="608" t="s">
        <v>659</v>
      </c>
      <c r="B1186" s="612" t="s">
        <v>660</v>
      </c>
      <c r="C1186" s="610" t="s">
        <v>379</v>
      </c>
      <c r="D1186" s="610" t="s">
        <v>379</v>
      </c>
      <c r="E1186" s="610" t="s">
        <v>379</v>
      </c>
      <c r="F1186" s="610" t="s">
        <v>379</v>
      </c>
      <c r="G1186" s="610" t="s">
        <v>379</v>
      </c>
      <c r="H1186" s="611" t="s">
        <v>626</v>
      </c>
    </row>
    <row r="1187" spans="1:8" ht="31.5">
      <c r="A1187" s="608" t="s">
        <v>661</v>
      </c>
      <c r="B1187" s="613" t="s">
        <v>662</v>
      </c>
      <c r="C1187" s="610" t="s">
        <v>379</v>
      </c>
      <c r="D1187" s="610" t="s">
        <v>379</v>
      </c>
      <c r="E1187" s="610" t="s">
        <v>379</v>
      </c>
      <c r="F1187" s="610" t="s">
        <v>379</v>
      </c>
      <c r="G1187" s="610" t="s">
        <v>379</v>
      </c>
      <c r="H1187" s="611" t="s">
        <v>626</v>
      </c>
    </row>
    <row r="1188" spans="1:8" ht="31.5">
      <c r="A1188" s="615" t="s">
        <v>663</v>
      </c>
      <c r="B1188" s="616" t="s">
        <v>664</v>
      </c>
      <c r="C1188" s="617" t="s">
        <v>379</v>
      </c>
      <c r="D1188" s="617" t="s">
        <v>379</v>
      </c>
      <c r="E1188" s="617" t="s">
        <v>379</v>
      </c>
      <c r="F1188" s="617" t="s">
        <v>379</v>
      </c>
      <c r="G1188" s="617" t="s">
        <v>379</v>
      </c>
      <c r="H1188" s="618" t="s">
        <v>626</v>
      </c>
    </row>
    <row r="1189" spans="1:8" ht="15.75">
      <c r="A1189" s="619"/>
      <c r="B1189" s="620"/>
      <c r="C1189" s="621"/>
      <c r="D1189" s="621"/>
      <c r="E1189" s="621"/>
      <c r="F1189" s="621"/>
      <c r="G1189" s="621"/>
      <c r="H1189" s="148"/>
    </row>
    <row r="1190" spans="1:8" ht="12.75" customHeight="1">
      <c r="A1190" s="707" t="s">
        <v>665</v>
      </c>
      <c r="B1190" s="707"/>
      <c r="C1190" s="707"/>
      <c r="D1190" s="707"/>
      <c r="E1190" s="707"/>
      <c r="F1190" s="707"/>
      <c r="G1190" s="707"/>
      <c r="H1190" s="707"/>
    </row>
    <row r="1193" ht="15.75">
      <c r="H1193" s="11" t="s">
        <v>609</v>
      </c>
    </row>
    <row r="1194" ht="15.75">
      <c r="H1194" s="11" t="s">
        <v>610</v>
      </c>
    </row>
    <row r="1195" ht="15.75">
      <c r="H1195" s="11" t="s">
        <v>611</v>
      </c>
    </row>
    <row r="1196" ht="15.75">
      <c r="H1196" s="11"/>
    </row>
    <row r="1197" spans="1:8" ht="12.75" customHeight="1">
      <c r="A1197" s="713" t="s">
        <v>612</v>
      </c>
      <c r="B1197" s="713"/>
      <c r="C1197" s="713"/>
      <c r="D1197" s="713"/>
      <c r="E1197" s="713"/>
      <c r="F1197" s="713"/>
      <c r="G1197" s="713"/>
      <c r="H1197" s="713"/>
    </row>
    <row r="1198" spans="1:8" ht="12.75" customHeight="1">
      <c r="A1198" s="713" t="s">
        <v>613</v>
      </c>
      <c r="B1198" s="713"/>
      <c r="C1198" s="713"/>
      <c r="D1198" s="713"/>
      <c r="E1198" s="713"/>
      <c r="F1198" s="713"/>
      <c r="G1198" s="713"/>
      <c r="H1198" s="713"/>
    </row>
    <row r="1199" ht="15.75">
      <c r="H1199" s="11" t="s">
        <v>43</v>
      </c>
    </row>
    <row r="1200" ht="15.75">
      <c r="H1200" s="11" t="s">
        <v>44</v>
      </c>
    </row>
    <row r="1201" ht="15.75">
      <c r="H1201" s="11" t="s">
        <v>45</v>
      </c>
    </row>
    <row r="1202" ht="15.75">
      <c r="H1202" s="594" t="s">
        <v>614</v>
      </c>
    </row>
    <row r="1203" ht="15.75">
      <c r="H1203" s="11" t="s">
        <v>615</v>
      </c>
    </row>
    <row r="1204" ht="15.75">
      <c r="H1204" s="11" t="s">
        <v>47</v>
      </c>
    </row>
    <row r="1205" ht="15.75">
      <c r="A1205" s="595"/>
    </row>
    <row r="1206" ht="15.75">
      <c r="A1206" s="3" t="s">
        <v>734</v>
      </c>
    </row>
    <row r="1207" spans="1:8" ht="12.75" customHeight="1">
      <c r="A1207" s="717" t="s">
        <v>0</v>
      </c>
      <c r="B1207" s="714"/>
      <c r="C1207" s="714"/>
      <c r="D1207" s="714"/>
      <c r="E1207" s="714"/>
      <c r="F1207" s="714"/>
      <c r="G1207" s="714"/>
      <c r="H1207" s="714"/>
    </row>
    <row r="1208" spans="1:8" ht="16.5" thickBot="1">
      <c r="A1208" s="597"/>
      <c r="B1208" s="597"/>
      <c r="C1208" s="598"/>
      <c r="D1208" s="598"/>
      <c r="E1208" s="598"/>
      <c r="F1208" s="598"/>
      <c r="G1208" s="598"/>
      <c r="H1208" s="598"/>
    </row>
    <row r="1209" spans="1:8" ht="12.75" customHeight="1">
      <c r="A1209" s="708" t="s">
        <v>617</v>
      </c>
      <c r="B1209" s="710" t="s">
        <v>618</v>
      </c>
      <c r="C1209" s="711" t="s">
        <v>619</v>
      </c>
      <c r="D1209" s="711"/>
      <c r="E1209" s="711"/>
      <c r="F1209" s="711"/>
      <c r="G1209" s="712" t="s">
        <v>620</v>
      </c>
      <c r="H1209" s="708" t="s">
        <v>621</v>
      </c>
    </row>
    <row r="1210" spans="1:8" ht="15.75">
      <c r="A1210" s="708"/>
      <c r="B1210" s="710"/>
      <c r="C1210" s="711"/>
      <c r="D1210" s="711"/>
      <c r="E1210" s="711"/>
      <c r="F1210" s="711"/>
      <c r="G1210" s="712"/>
      <c r="H1210" s="708"/>
    </row>
    <row r="1211" spans="1:8" ht="31.5">
      <c r="A1211" s="708"/>
      <c r="B1211" s="710"/>
      <c r="C1211" s="601" t="s">
        <v>622</v>
      </c>
      <c r="D1211" s="601" t="s">
        <v>623</v>
      </c>
      <c r="E1211" s="602" t="s">
        <v>622</v>
      </c>
      <c r="F1211" s="603" t="s">
        <v>623</v>
      </c>
      <c r="G1211" s="712"/>
      <c r="H1211" s="708"/>
    </row>
    <row r="1212" spans="1:8" ht="15.75">
      <c r="A1212" s="599">
        <v>1</v>
      </c>
      <c r="B1212" s="599">
        <v>2</v>
      </c>
      <c r="C1212" s="604">
        <v>3</v>
      </c>
      <c r="D1212" s="604">
        <v>4</v>
      </c>
      <c r="E1212" s="605"/>
      <c r="F1212" s="606"/>
      <c r="G1212" s="600">
        <v>5</v>
      </c>
      <c r="H1212" s="599">
        <v>6</v>
      </c>
    </row>
    <row r="1213" spans="1:8" ht="12.75" customHeight="1">
      <c r="A1213" s="607">
        <v>1</v>
      </c>
      <c r="B1213" s="709" t="s">
        <v>624</v>
      </c>
      <c r="C1213" s="709"/>
      <c r="D1213" s="709"/>
      <c r="E1213" s="709"/>
      <c r="F1213" s="709"/>
      <c r="G1213" s="709"/>
      <c r="H1213" s="709"/>
    </row>
    <row r="1214" spans="1:8" ht="15.75">
      <c r="A1214" s="608" t="s">
        <v>74</v>
      </c>
      <c r="B1214" s="609" t="s">
        <v>625</v>
      </c>
      <c r="C1214" s="610" t="s">
        <v>379</v>
      </c>
      <c r="D1214" s="610" t="s">
        <v>379</v>
      </c>
      <c r="E1214" s="610" t="s">
        <v>379</v>
      </c>
      <c r="F1214" s="610" t="s">
        <v>379</v>
      </c>
      <c r="G1214" s="610" t="s">
        <v>379</v>
      </c>
      <c r="H1214" s="611" t="s">
        <v>626</v>
      </c>
    </row>
    <row r="1215" spans="1:8" ht="15.75">
      <c r="A1215" s="608" t="s">
        <v>313</v>
      </c>
      <c r="B1215" s="609" t="s">
        <v>627</v>
      </c>
      <c r="C1215" s="610" t="s">
        <v>379</v>
      </c>
      <c r="D1215" s="610" t="s">
        <v>379</v>
      </c>
      <c r="E1215" s="610" t="s">
        <v>379</v>
      </c>
      <c r="F1215" s="610" t="s">
        <v>379</v>
      </c>
      <c r="G1215" s="610" t="s">
        <v>379</v>
      </c>
      <c r="H1215" s="611" t="s">
        <v>626</v>
      </c>
    </row>
    <row r="1216" spans="1:8" ht="31.5">
      <c r="A1216" s="608" t="s">
        <v>315</v>
      </c>
      <c r="B1216" s="612" t="s">
        <v>628</v>
      </c>
      <c r="C1216" s="610" t="s">
        <v>379</v>
      </c>
      <c r="D1216" s="610" t="s">
        <v>379</v>
      </c>
      <c r="E1216" s="610" t="s">
        <v>379</v>
      </c>
      <c r="F1216" s="610" t="s">
        <v>379</v>
      </c>
      <c r="G1216" s="610" t="s">
        <v>379</v>
      </c>
      <c r="H1216" s="611" t="s">
        <v>626</v>
      </c>
    </row>
    <row r="1217" spans="1:8" ht="47.25">
      <c r="A1217" s="608" t="s">
        <v>317</v>
      </c>
      <c r="B1217" s="612" t="s">
        <v>629</v>
      </c>
      <c r="C1217" s="610" t="s">
        <v>379</v>
      </c>
      <c r="D1217" s="610" t="s">
        <v>379</v>
      </c>
      <c r="E1217" s="610" t="s">
        <v>379</v>
      </c>
      <c r="F1217" s="610" t="s">
        <v>379</v>
      </c>
      <c r="G1217" s="610" t="s">
        <v>379</v>
      </c>
      <c r="H1217" s="611" t="s">
        <v>626</v>
      </c>
    </row>
    <row r="1218" spans="1:8" ht="15.75">
      <c r="A1218" s="608" t="s">
        <v>630</v>
      </c>
      <c r="B1218" s="613" t="s">
        <v>631</v>
      </c>
      <c r="C1218" s="610" t="s">
        <v>379</v>
      </c>
      <c r="D1218" s="610" t="s">
        <v>379</v>
      </c>
      <c r="E1218" s="610" t="s">
        <v>379</v>
      </c>
      <c r="F1218" s="610" t="s">
        <v>379</v>
      </c>
      <c r="G1218" s="610" t="s">
        <v>379</v>
      </c>
      <c r="H1218" s="611" t="s">
        <v>626</v>
      </c>
    </row>
    <row r="1219" spans="1:8" ht="15.75">
      <c r="A1219" s="608" t="s">
        <v>632</v>
      </c>
      <c r="B1219" s="613" t="s">
        <v>633</v>
      </c>
      <c r="C1219" s="610" t="s">
        <v>379</v>
      </c>
      <c r="D1219" s="610" t="s">
        <v>379</v>
      </c>
      <c r="E1219" s="610" t="s">
        <v>379</v>
      </c>
      <c r="F1219" s="610" t="s">
        <v>379</v>
      </c>
      <c r="G1219" s="610" t="s">
        <v>379</v>
      </c>
      <c r="H1219" s="611" t="s">
        <v>626</v>
      </c>
    </row>
    <row r="1220" spans="1:8" ht="12.75" customHeight="1">
      <c r="A1220" s="608">
        <v>2</v>
      </c>
      <c r="B1220" s="706" t="s">
        <v>634</v>
      </c>
      <c r="C1220" s="706"/>
      <c r="D1220" s="706"/>
      <c r="E1220" s="706"/>
      <c r="F1220" s="706"/>
      <c r="G1220" s="706"/>
      <c r="H1220" s="706"/>
    </row>
    <row r="1221" spans="1:8" ht="31.5">
      <c r="A1221" s="608" t="s">
        <v>321</v>
      </c>
      <c r="B1221" s="612" t="s">
        <v>635</v>
      </c>
      <c r="C1221" s="610" t="s">
        <v>636</v>
      </c>
      <c r="D1221" s="610" t="s">
        <v>670</v>
      </c>
      <c r="E1221" s="610" t="s">
        <v>379</v>
      </c>
      <c r="F1221" s="610" t="s">
        <v>379</v>
      </c>
      <c r="G1221" s="614">
        <v>0</v>
      </c>
      <c r="H1221" s="611"/>
    </row>
    <row r="1222" spans="1:8" ht="47.25">
      <c r="A1222" s="608" t="s">
        <v>325</v>
      </c>
      <c r="B1222" s="612" t="s">
        <v>638</v>
      </c>
      <c r="C1222" s="610" t="s">
        <v>379</v>
      </c>
      <c r="D1222" s="610" t="s">
        <v>379</v>
      </c>
      <c r="E1222" s="610" t="s">
        <v>379</v>
      </c>
      <c r="F1222" s="610" t="s">
        <v>379</v>
      </c>
      <c r="G1222" s="610" t="s">
        <v>379</v>
      </c>
      <c r="H1222" s="611" t="s">
        <v>626</v>
      </c>
    </row>
    <row r="1223" spans="1:8" ht="31.5">
      <c r="A1223" s="608" t="s">
        <v>639</v>
      </c>
      <c r="B1223" s="612" t="s">
        <v>640</v>
      </c>
      <c r="C1223" s="610" t="s">
        <v>379</v>
      </c>
      <c r="D1223" s="610" t="s">
        <v>379</v>
      </c>
      <c r="E1223" s="610" t="s">
        <v>379</v>
      </c>
      <c r="F1223" s="610" t="s">
        <v>379</v>
      </c>
      <c r="G1223" s="610" t="s">
        <v>379</v>
      </c>
      <c r="H1223" s="611" t="s">
        <v>626</v>
      </c>
    </row>
    <row r="1224" spans="1:8" ht="12.75" customHeight="1">
      <c r="A1224" s="608">
        <v>3</v>
      </c>
      <c r="B1224" s="706" t="s">
        <v>641</v>
      </c>
      <c r="C1224" s="706"/>
      <c r="D1224" s="706"/>
      <c r="E1224" s="706"/>
      <c r="F1224" s="706"/>
      <c r="G1224" s="706"/>
      <c r="H1224" s="706"/>
    </row>
    <row r="1225" spans="1:8" ht="31.5">
      <c r="A1225" s="608" t="s">
        <v>378</v>
      </c>
      <c r="B1225" s="613" t="s">
        <v>642</v>
      </c>
      <c r="C1225" s="610" t="s">
        <v>379</v>
      </c>
      <c r="D1225" s="610" t="s">
        <v>379</v>
      </c>
      <c r="E1225" s="610" t="s">
        <v>379</v>
      </c>
      <c r="F1225" s="610" t="s">
        <v>379</v>
      </c>
      <c r="G1225" s="610" t="s">
        <v>379</v>
      </c>
      <c r="H1225" s="611" t="s">
        <v>626</v>
      </c>
    </row>
    <row r="1226" spans="1:8" ht="15.75">
      <c r="A1226" s="608" t="s">
        <v>643</v>
      </c>
      <c r="B1226" s="613" t="s">
        <v>644</v>
      </c>
      <c r="C1226" s="610" t="s">
        <v>636</v>
      </c>
      <c r="D1226" s="610" t="s">
        <v>671</v>
      </c>
      <c r="E1226" s="610" t="s">
        <v>379</v>
      </c>
      <c r="F1226" s="610" t="s">
        <v>379</v>
      </c>
      <c r="G1226" s="614">
        <v>0</v>
      </c>
      <c r="H1226" s="611"/>
    </row>
    <row r="1227" spans="1:8" ht="15.75">
      <c r="A1227" s="608" t="s">
        <v>380</v>
      </c>
      <c r="B1227" s="613" t="s">
        <v>646</v>
      </c>
      <c r="C1227" s="610" t="s">
        <v>647</v>
      </c>
      <c r="D1227" s="610" t="s">
        <v>651</v>
      </c>
      <c r="E1227" s="610" t="s">
        <v>379</v>
      </c>
      <c r="F1227" s="610" t="s">
        <v>379</v>
      </c>
      <c r="G1227" s="614">
        <v>0</v>
      </c>
      <c r="H1227" s="611"/>
    </row>
    <row r="1228" spans="1:8" ht="15.75">
      <c r="A1228" s="608" t="s">
        <v>649</v>
      </c>
      <c r="B1228" s="613" t="s">
        <v>650</v>
      </c>
      <c r="C1228" s="610" t="s">
        <v>651</v>
      </c>
      <c r="D1228" s="610" t="s">
        <v>672</v>
      </c>
      <c r="E1228" s="610" t="s">
        <v>379</v>
      </c>
      <c r="F1228" s="610" t="s">
        <v>379</v>
      </c>
      <c r="G1228" s="614">
        <v>0</v>
      </c>
      <c r="H1228" s="611"/>
    </row>
    <row r="1229" spans="1:8" ht="15.75">
      <c r="A1229" s="608" t="s">
        <v>653</v>
      </c>
      <c r="B1229" s="613" t="s">
        <v>654</v>
      </c>
      <c r="C1229" s="610" t="s">
        <v>672</v>
      </c>
      <c r="D1229" s="610" t="s">
        <v>670</v>
      </c>
      <c r="E1229" s="610" t="s">
        <v>379</v>
      </c>
      <c r="F1229" s="610" t="s">
        <v>379</v>
      </c>
      <c r="G1229" s="614">
        <v>0</v>
      </c>
      <c r="H1229" s="611"/>
    </row>
    <row r="1230" spans="1:8" ht="12.75" customHeight="1">
      <c r="A1230" s="608">
        <v>4</v>
      </c>
      <c r="B1230" s="706" t="s">
        <v>656</v>
      </c>
      <c r="C1230" s="706"/>
      <c r="D1230" s="706"/>
      <c r="E1230" s="706"/>
      <c r="F1230" s="706"/>
      <c r="G1230" s="706"/>
      <c r="H1230" s="706"/>
    </row>
    <row r="1231" spans="1:8" ht="31.5">
      <c r="A1231" s="608" t="s">
        <v>657</v>
      </c>
      <c r="B1231" s="612" t="s">
        <v>658</v>
      </c>
      <c r="C1231" s="610" t="s">
        <v>379</v>
      </c>
      <c r="D1231" s="610" t="s">
        <v>379</v>
      </c>
      <c r="E1231" s="610" t="s">
        <v>379</v>
      </c>
      <c r="F1231" s="610" t="s">
        <v>379</v>
      </c>
      <c r="G1231" s="610" t="s">
        <v>379</v>
      </c>
      <c r="H1231" s="611" t="s">
        <v>626</v>
      </c>
    </row>
    <row r="1232" spans="1:8" ht="47.25">
      <c r="A1232" s="608" t="s">
        <v>659</v>
      </c>
      <c r="B1232" s="612" t="s">
        <v>660</v>
      </c>
      <c r="C1232" s="610" t="s">
        <v>379</v>
      </c>
      <c r="D1232" s="610" t="s">
        <v>379</v>
      </c>
      <c r="E1232" s="610" t="s">
        <v>379</v>
      </c>
      <c r="F1232" s="610" t="s">
        <v>379</v>
      </c>
      <c r="G1232" s="610" t="s">
        <v>379</v>
      </c>
      <c r="H1232" s="611" t="s">
        <v>626</v>
      </c>
    </row>
    <row r="1233" spans="1:8" ht="31.5">
      <c r="A1233" s="608" t="s">
        <v>661</v>
      </c>
      <c r="B1233" s="613" t="s">
        <v>662</v>
      </c>
      <c r="C1233" s="610" t="s">
        <v>379</v>
      </c>
      <c r="D1233" s="610" t="s">
        <v>379</v>
      </c>
      <c r="E1233" s="610" t="s">
        <v>379</v>
      </c>
      <c r="F1233" s="610" t="s">
        <v>379</v>
      </c>
      <c r="G1233" s="610" t="s">
        <v>379</v>
      </c>
      <c r="H1233" s="611" t="s">
        <v>626</v>
      </c>
    </row>
    <row r="1234" spans="1:8" ht="31.5">
      <c r="A1234" s="615" t="s">
        <v>663</v>
      </c>
      <c r="B1234" s="616" t="s">
        <v>664</v>
      </c>
      <c r="C1234" s="617" t="s">
        <v>379</v>
      </c>
      <c r="D1234" s="617" t="s">
        <v>379</v>
      </c>
      <c r="E1234" s="617" t="s">
        <v>379</v>
      </c>
      <c r="F1234" s="617" t="s">
        <v>379</v>
      </c>
      <c r="G1234" s="617" t="s">
        <v>379</v>
      </c>
      <c r="H1234" s="618" t="s">
        <v>626</v>
      </c>
    </row>
    <row r="1235" spans="1:8" ht="15.75">
      <c r="A1235" s="619"/>
      <c r="B1235" s="620"/>
      <c r="C1235" s="621"/>
      <c r="D1235" s="621"/>
      <c r="E1235" s="621"/>
      <c r="F1235" s="621"/>
      <c r="G1235" s="621"/>
      <c r="H1235" s="148"/>
    </row>
    <row r="1236" spans="1:8" ht="12.75" customHeight="1">
      <c r="A1236" s="707" t="s">
        <v>665</v>
      </c>
      <c r="B1236" s="707"/>
      <c r="C1236" s="707"/>
      <c r="D1236" s="707"/>
      <c r="E1236" s="707"/>
      <c r="F1236" s="707"/>
      <c r="G1236" s="707"/>
      <c r="H1236" s="707"/>
    </row>
    <row r="1239" ht="15.75">
      <c r="H1239" s="11" t="s">
        <v>609</v>
      </c>
    </row>
    <row r="1240" ht="15.75">
      <c r="H1240" s="11" t="s">
        <v>610</v>
      </c>
    </row>
    <row r="1241" ht="15.75">
      <c r="H1241" s="11" t="s">
        <v>611</v>
      </c>
    </row>
    <row r="1242" ht="15.75">
      <c r="H1242" s="11"/>
    </row>
    <row r="1243" spans="1:8" ht="12.75" customHeight="1">
      <c r="A1243" s="713" t="s">
        <v>612</v>
      </c>
      <c r="B1243" s="713"/>
      <c r="C1243" s="713"/>
      <c r="D1243" s="713"/>
      <c r="E1243" s="713"/>
      <c r="F1243" s="713"/>
      <c r="G1243" s="713"/>
      <c r="H1243" s="713"/>
    </row>
    <row r="1244" spans="1:8" ht="12.75" customHeight="1">
      <c r="A1244" s="713" t="s">
        <v>613</v>
      </c>
      <c r="B1244" s="713"/>
      <c r="C1244" s="713"/>
      <c r="D1244" s="713"/>
      <c r="E1244" s="713"/>
      <c r="F1244" s="713"/>
      <c r="G1244" s="713"/>
      <c r="H1244" s="713"/>
    </row>
    <row r="1245" ht="15.75">
      <c r="H1245" s="11" t="s">
        <v>43</v>
      </c>
    </row>
    <row r="1246" ht="15.75">
      <c r="H1246" s="11" t="s">
        <v>44</v>
      </c>
    </row>
    <row r="1247" ht="15.75">
      <c r="H1247" s="11" t="s">
        <v>45</v>
      </c>
    </row>
    <row r="1248" ht="15.75">
      <c r="H1248" s="594" t="s">
        <v>614</v>
      </c>
    </row>
    <row r="1249" ht="15.75">
      <c r="H1249" s="11" t="s">
        <v>615</v>
      </c>
    </row>
    <row r="1250" ht="15.75">
      <c r="H1250" s="11" t="s">
        <v>47</v>
      </c>
    </row>
    <row r="1251" ht="15.75">
      <c r="A1251" s="595"/>
    </row>
    <row r="1252" ht="15.75">
      <c r="A1252" s="3" t="s">
        <v>735</v>
      </c>
    </row>
    <row r="1253" spans="1:8" ht="12.75" customHeight="1">
      <c r="A1253" s="717" t="s">
        <v>0</v>
      </c>
      <c r="B1253" s="714"/>
      <c r="C1253" s="714"/>
      <c r="D1253" s="714"/>
      <c r="E1253" s="714"/>
      <c r="F1253" s="714"/>
      <c r="G1253" s="714"/>
      <c r="H1253" s="714"/>
    </row>
    <row r="1254" spans="1:8" ht="16.5" thickBot="1">
      <c r="A1254" s="597"/>
      <c r="B1254" s="597"/>
      <c r="C1254" s="598"/>
      <c r="D1254" s="598"/>
      <c r="E1254" s="598"/>
      <c r="F1254" s="598"/>
      <c r="G1254" s="598"/>
      <c r="H1254" s="598"/>
    </row>
    <row r="1255" spans="1:8" ht="12.75" customHeight="1">
      <c r="A1255" s="708" t="s">
        <v>617</v>
      </c>
      <c r="B1255" s="710" t="s">
        <v>618</v>
      </c>
      <c r="C1255" s="711" t="s">
        <v>619</v>
      </c>
      <c r="D1255" s="711"/>
      <c r="E1255" s="711"/>
      <c r="F1255" s="711"/>
      <c r="G1255" s="712" t="s">
        <v>620</v>
      </c>
      <c r="H1255" s="708" t="s">
        <v>621</v>
      </c>
    </row>
    <row r="1256" spans="1:8" ht="15.75">
      <c r="A1256" s="708"/>
      <c r="B1256" s="710"/>
      <c r="C1256" s="711"/>
      <c r="D1256" s="711"/>
      <c r="E1256" s="711"/>
      <c r="F1256" s="711"/>
      <c r="G1256" s="712"/>
      <c r="H1256" s="708"/>
    </row>
    <row r="1257" spans="1:8" ht="31.5">
      <c r="A1257" s="708"/>
      <c r="B1257" s="710"/>
      <c r="C1257" s="601" t="s">
        <v>622</v>
      </c>
      <c r="D1257" s="601" t="s">
        <v>623</v>
      </c>
      <c r="E1257" s="602" t="s">
        <v>622</v>
      </c>
      <c r="F1257" s="603" t="s">
        <v>623</v>
      </c>
      <c r="G1257" s="712"/>
      <c r="H1257" s="708"/>
    </row>
    <row r="1258" spans="1:8" ht="15.75">
      <c r="A1258" s="599">
        <v>1</v>
      </c>
      <c r="B1258" s="599">
        <v>2</v>
      </c>
      <c r="C1258" s="604">
        <v>3</v>
      </c>
      <c r="D1258" s="604">
        <v>4</v>
      </c>
      <c r="E1258" s="605"/>
      <c r="F1258" s="606"/>
      <c r="G1258" s="600">
        <v>5</v>
      </c>
      <c r="H1258" s="599">
        <v>6</v>
      </c>
    </row>
    <row r="1259" spans="1:8" ht="12.75" customHeight="1">
      <c r="A1259" s="607">
        <v>1</v>
      </c>
      <c r="B1259" s="709" t="s">
        <v>624</v>
      </c>
      <c r="C1259" s="709"/>
      <c r="D1259" s="709"/>
      <c r="E1259" s="709"/>
      <c r="F1259" s="709"/>
      <c r="G1259" s="709"/>
      <c r="H1259" s="709"/>
    </row>
    <row r="1260" spans="1:8" ht="15.75">
      <c r="A1260" s="608" t="s">
        <v>74</v>
      </c>
      <c r="B1260" s="609" t="s">
        <v>625</v>
      </c>
      <c r="C1260" s="610" t="s">
        <v>379</v>
      </c>
      <c r="D1260" s="610" t="s">
        <v>379</v>
      </c>
      <c r="E1260" s="610" t="s">
        <v>379</v>
      </c>
      <c r="F1260" s="610" t="s">
        <v>379</v>
      </c>
      <c r="G1260" s="610" t="s">
        <v>379</v>
      </c>
      <c r="H1260" s="611" t="s">
        <v>626</v>
      </c>
    </row>
    <row r="1261" spans="1:8" ht="15.75">
      <c r="A1261" s="608" t="s">
        <v>313</v>
      </c>
      <c r="B1261" s="609" t="s">
        <v>627</v>
      </c>
      <c r="C1261" s="610" t="s">
        <v>379</v>
      </c>
      <c r="D1261" s="610" t="s">
        <v>379</v>
      </c>
      <c r="E1261" s="610" t="s">
        <v>379</v>
      </c>
      <c r="F1261" s="610" t="s">
        <v>379</v>
      </c>
      <c r="G1261" s="610" t="s">
        <v>379</v>
      </c>
      <c r="H1261" s="611" t="s">
        <v>626</v>
      </c>
    </row>
    <row r="1262" spans="1:8" ht="31.5">
      <c r="A1262" s="608" t="s">
        <v>315</v>
      </c>
      <c r="B1262" s="612" t="s">
        <v>628</v>
      </c>
      <c r="C1262" s="610" t="s">
        <v>379</v>
      </c>
      <c r="D1262" s="610" t="s">
        <v>379</v>
      </c>
      <c r="E1262" s="610" t="s">
        <v>379</v>
      </c>
      <c r="F1262" s="610" t="s">
        <v>379</v>
      </c>
      <c r="G1262" s="610" t="s">
        <v>379</v>
      </c>
      <c r="H1262" s="611" t="s">
        <v>626</v>
      </c>
    </row>
    <row r="1263" spans="1:8" ht="47.25">
      <c r="A1263" s="608" t="s">
        <v>317</v>
      </c>
      <c r="B1263" s="612" t="s">
        <v>629</v>
      </c>
      <c r="C1263" s="610" t="s">
        <v>379</v>
      </c>
      <c r="D1263" s="610" t="s">
        <v>379</v>
      </c>
      <c r="E1263" s="610" t="s">
        <v>379</v>
      </c>
      <c r="F1263" s="610" t="s">
        <v>379</v>
      </c>
      <c r="G1263" s="610" t="s">
        <v>379</v>
      </c>
      <c r="H1263" s="611" t="s">
        <v>626</v>
      </c>
    </row>
    <row r="1264" spans="1:8" ht="15.75">
      <c r="A1264" s="608" t="s">
        <v>630</v>
      </c>
      <c r="B1264" s="613" t="s">
        <v>631</v>
      </c>
      <c r="C1264" s="610" t="s">
        <v>379</v>
      </c>
      <c r="D1264" s="610" t="s">
        <v>379</v>
      </c>
      <c r="E1264" s="610" t="s">
        <v>379</v>
      </c>
      <c r="F1264" s="610" t="s">
        <v>379</v>
      </c>
      <c r="G1264" s="610" t="s">
        <v>379</v>
      </c>
      <c r="H1264" s="611" t="s">
        <v>626</v>
      </c>
    </row>
    <row r="1265" spans="1:8" ht="15.75">
      <c r="A1265" s="608" t="s">
        <v>632</v>
      </c>
      <c r="B1265" s="613" t="s">
        <v>633</v>
      </c>
      <c r="C1265" s="610" t="s">
        <v>379</v>
      </c>
      <c r="D1265" s="610" t="s">
        <v>379</v>
      </c>
      <c r="E1265" s="610" t="s">
        <v>379</v>
      </c>
      <c r="F1265" s="610" t="s">
        <v>379</v>
      </c>
      <c r="G1265" s="610" t="s">
        <v>379</v>
      </c>
      <c r="H1265" s="611" t="s">
        <v>626</v>
      </c>
    </row>
    <row r="1266" spans="1:8" ht="12.75" customHeight="1">
      <c r="A1266" s="608">
        <v>2</v>
      </c>
      <c r="B1266" s="706" t="s">
        <v>634</v>
      </c>
      <c r="C1266" s="706"/>
      <c r="D1266" s="706"/>
      <c r="E1266" s="706"/>
      <c r="F1266" s="706"/>
      <c r="G1266" s="706"/>
      <c r="H1266" s="706"/>
    </row>
    <row r="1267" spans="1:8" ht="31.5">
      <c r="A1267" s="608" t="s">
        <v>321</v>
      </c>
      <c r="B1267" s="612" t="s">
        <v>635</v>
      </c>
      <c r="C1267" s="610" t="s">
        <v>685</v>
      </c>
      <c r="D1267" s="610" t="s">
        <v>686</v>
      </c>
      <c r="E1267" s="610" t="s">
        <v>379</v>
      </c>
      <c r="F1267" s="610" t="s">
        <v>379</v>
      </c>
      <c r="G1267" s="614">
        <v>0</v>
      </c>
      <c r="H1267" s="611"/>
    </row>
    <row r="1268" spans="1:8" ht="47.25">
      <c r="A1268" s="608" t="s">
        <v>325</v>
      </c>
      <c r="B1268" s="612" t="s">
        <v>638</v>
      </c>
      <c r="C1268" s="610" t="s">
        <v>379</v>
      </c>
      <c r="D1268" s="610" t="s">
        <v>379</v>
      </c>
      <c r="E1268" s="610" t="s">
        <v>379</v>
      </c>
      <c r="F1268" s="610" t="s">
        <v>379</v>
      </c>
      <c r="G1268" s="610" t="s">
        <v>379</v>
      </c>
      <c r="H1268" s="611" t="s">
        <v>626</v>
      </c>
    </row>
    <row r="1269" spans="1:8" ht="31.5">
      <c r="A1269" s="608" t="s">
        <v>639</v>
      </c>
      <c r="B1269" s="612" t="s">
        <v>640</v>
      </c>
      <c r="C1269" s="610" t="s">
        <v>379</v>
      </c>
      <c r="D1269" s="610" t="s">
        <v>379</v>
      </c>
      <c r="E1269" s="610" t="s">
        <v>379</v>
      </c>
      <c r="F1269" s="610" t="s">
        <v>379</v>
      </c>
      <c r="G1269" s="610" t="s">
        <v>379</v>
      </c>
      <c r="H1269" s="611" t="s">
        <v>626</v>
      </c>
    </row>
    <row r="1270" spans="1:8" ht="15.75">
      <c r="A1270" s="608">
        <v>3</v>
      </c>
      <c r="B1270" s="706" t="s">
        <v>641</v>
      </c>
      <c r="C1270" s="706"/>
      <c r="D1270" s="706"/>
      <c r="E1270" s="706"/>
      <c r="F1270" s="706"/>
      <c r="G1270" s="706"/>
      <c r="H1270" s="706"/>
    </row>
    <row r="1271" spans="1:8" ht="31.5">
      <c r="A1271" s="608" t="s">
        <v>378</v>
      </c>
      <c r="B1271" s="613" t="s">
        <v>642</v>
      </c>
      <c r="C1271" s="610" t="s">
        <v>379</v>
      </c>
      <c r="D1271" s="610" t="s">
        <v>379</v>
      </c>
      <c r="E1271" s="610" t="s">
        <v>379</v>
      </c>
      <c r="F1271" s="610" t="s">
        <v>379</v>
      </c>
      <c r="G1271" s="610" t="s">
        <v>379</v>
      </c>
      <c r="H1271" s="611" t="s">
        <v>626</v>
      </c>
    </row>
    <row r="1272" spans="1:8" ht="15.75">
      <c r="A1272" s="608" t="s">
        <v>643</v>
      </c>
      <c r="B1272" s="613" t="s">
        <v>644</v>
      </c>
      <c r="C1272" s="610" t="s">
        <v>685</v>
      </c>
      <c r="D1272" s="610" t="s">
        <v>687</v>
      </c>
      <c r="E1272" s="610" t="s">
        <v>379</v>
      </c>
      <c r="F1272" s="610" t="s">
        <v>379</v>
      </c>
      <c r="G1272" s="614">
        <v>0</v>
      </c>
      <c r="H1272" s="611"/>
    </row>
    <row r="1273" spans="1:8" ht="15.75">
      <c r="A1273" s="608" t="s">
        <v>380</v>
      </c>
      <c r="B1273" s="613" t="s">
        <v>646</v>
      </c>
      <c r="C1273" s="610" t="s">
        <v>688</v>
      </c>
      <c r="D1273" s="610" t="s">
        <v>689</v>
      </c>
      <c r="E1273" s="610" t="s">
        <v>379</v>
      </c>
      <c r="F1273" s="610" t="s">
        <v>379</v>
      </c>
      <c r="G1273" s="614">
        <v>0</v>
      </c>
      <c r="H1273" s="611"/>
    </row>
    <row r="1274" spans="1:8" ht="15.75">
      <c r="A1274" s="608" t="s">
        <v>649</v>
      </c>
      <c r="B1274" s="613" t="s">
        <v>650</v>
      </c>
      <c r="C1274" s="610" t="s">
        <v>690</v>
      </c>
      <c r="D1274" s="610" t="s">
        <v>691</v>
      </c>
      <c r="E1274" s="610" t="s">
        <v>379</v>
      </c>
      <c r="F1274" s="610" t="s">
        <v>379</v>
      </c>
      <c r="G1274" s="614">
        <v>0</v>
      </c>
      <c r="H1274" s="611"/>
    </row>
    <row r="1275" spans="1:8" ht="15.75">
      <c r="A1275" s="608" t="s">
        <v>653</v>
      </c>
      <c r="B1275" s="613" t="s">
        <v>654</v>
      </c>
      <c r="C1275" s="610" t="s">
        <v>692</v>
      </c>
      <c r="D1275" s="610" t="s">
        <v>686</v>
      </c>
      <c r="E1275" s="610" t="s">
        <v>379</v>
      </c>
      <c r="F1275" s="610" t="s">
        <v>379</v>
      </c>
      <c r="G1275" s="614">
        <v>0</v>
      </c>
      <c r="H1275" s="611"/>
    </row>
    <row r="1276" spans="1:8" ht="12.75" customHeight="1">
      <c r="A1276" s="608">
        <v>4</v>
      </c>
      <c r="B1276" s="706" t="s">
        <v>656</v>
      </c>
      <c r="C1276" s="706"/>
      <c r="D1276" s="706"/>
      <c r="E1276" s="706"/>
      <c r="F1276" s="706"/>
      <c r="G1276" s="706"/>
      <c r="H1276" s="706"/>
    </row>
    <row r="1277" spans="1:8" ht="31.5">
      <c r="A1277" s="608" t="s">
        <v>657</v>
      </c>
      <c r="B1277" s="612" t="s">
        <v>658</v>
      </c>
      <c r="C1277" s="610" t="s">
        <v>379</v>
      </c>
      <c r="D1277" s="610" t="s">
        <v>379</v>
      </c>
      <c r="E1277" s="610" t="s">
        <v>379</v>
      </c>
      <c r="F1277" s="610" t="s">
        <v>379</v>
      </c>
      <c r="G1277" s="610" t="s">
        <v>379</v>
      </c>
      <c r="H1277" s="611" t="s">
        <v>626</v>
      </c>
    </row>
    <row r="1278" spans="1:8" ht="47.25">
      <c r="A1278" s="608" t="s">
        <v>659</v>
      </c>
      <c r="B1278" s="612" t="s">
        <v>660</v>
      </c>
      <c r="C1278" s="610" t="s">
        <v>379</v>
      </c>
      <c r="D1278" s="610" t="s">
        <v>379</v>
      </c>
      <c r="E1278" s="610" t="s">
        <v>379</v>
      </c>
      <c r="F1278" s="610" t="s">
        <v>379</v>
      </c>
      <c r="G1278" s="610" t="s">
        <v>379</v>
      </c>
      <c r="H1278" s="611" t="s">
        <v>626</v>
      </c>
    </row>
    <row r="1279" spans="1:8" ht="31.5">
      <c r="A1279" s="608" t="s">
        <v>661</v>
      </c>
      <c r="B1279" s="613" t="s">
        <v>662</v>
      </c>
      <c r="C1279" s="610" t="s">
        <v>379</v>
      </c>
      <c r="D1279" s="610" t="s">
        <v>379</v>
      </c>
      <c r="E1279" s="610" t="s">
        <v>379</v>
      </c>
      <c r="F1279" s="610" t="s">
        <v>379</v>
      </c>
      <c r="G1279" s="610" t="s">
        <v>379</v>
      </c>
      <c r="H1279" s="611" t="s">
        <v>626</v>
      </c>
    </row>
    <row r="1280" spans="1:8" ht="31.5">
      <c r="A1280" s="615" t="s">
        <v>663</v>
      </c>
      <c r="B1280" s="616" t="s">
        <v>664</v>
      </c>
      <c r="C1280" s="617" t="s">
        <v>379</v>
      </c>
      <c r="D1280" s="617" t="s">
        <v>379</v>
      </c>
      <c r="E1280" s="617" t="s">
        <v>379</v>
      </c>
      <c r="F1280" s="617" t="s">
        <v>379</v>
      </c>
      <c r="G1280" s="617" t="s">
        <v>379</v>
      </c>
      <c r="H1280" s="618" t="s">
        <v>626</v>
      </c>
    </row>
    <row r="1281" spans="1:8" ht="15.75">
      <c r="A1281" s="619"/>
      <c r="B1281" s="620"/>
      <c r="C1281" s="621"/>
      <c r="D1281" s="621"/>
      <c r="E1281" s="621"/>
      <c r="F1281" s="621"/>
      <c r="G1281" s="621"/>
      <c r="H1281" s="148"/>
    </row>
    <row r="1282" spans="1:8" ht="12.75" customHeight="1">
      <c r="A1282" s="707" t="s">
        <v>665</v>
      </c>
      <c r="B1282" s="707"/>
      <c r="C1282" s="707"/>
      <c r="D1282" s="707"/>
      <c r="E1282" s="707"/>
      <c r="F1282" s="707"/>
      <c r="G1282" s="707"/>
      <c r="H1282" s="707"/>
    </row>
    <row r="1290" ht="15.75">
      <c r="H1290" s="11" t="s">
        <v>609</v>
      </c>
    </row>
    <row r="1291" ht="15.75">
      <c r="H1291" s="11" t="s">
        <v>610</v>
      </c>
    </row>
    <row r="1292" ht="15.75">
      <c r="H1292" s="11" t="s">
        <v>611</v>
      </c>
    </row>
    <row r="1293" ht="15.75">
      <c r="H1293" s="11"/>
    </row>
    <row r="1294" spans="1:8" ht="12.75" customHeight="1">
      <c r="A1294" s="713" t="s">
        <v>612</v>
      </c>
      <c r="B1294" s="713"/>
      <c r="C1294" s="713"/>
      <c r="D1294" s="713"/>
      <c r="E1294" s="713"/>
      <c r="F1294" s="713"/>
      <c r="G1294" s="713"/>
      <c r="H1294" s="713"/>
    </row>
    <row r="1295" spans="1:8" ht="12.75" customHeight="1">
      <c r="A1295" s="713" t="s">
        <v>613</v>
      </c>
      <c r="B1295" s="713"/>
      <c r="C1295" s="713"/>
      <c r="D1295" s="713"/>
      <c r="E1295" s="713"/>
      <c r="F1295" s="713"/>
      <c r="G1295" s="713"/>
      <c r="H1295" s="713"/>
    </row>
    <row r="1296" ht="15.75">
      <c r="H1296" s="11" t="s">
        <v>43</v>
      </c>
    </row>
    <row r="1297" ht="15.75">
      <c r="H1297" s="11" t="s">
        <v>44</v>
      </c>
    </row>
    <row r="1298" ht="15.75">
      <c r="H1298" s="11" t="s">
        <v>45</v>
      </c>
    </row>
    <row r="1299" ht="15.75">
      <c r="H1299" s="594" t="s">
        <v>614</v>
      </c>
    </row>
    <row r="1300" ht="15.75">
      <c r="H1300" s="11" t="s">
        <v>615</v>
      </c>
    </row>
    <row r="1301" ht="15.75">
      <c r="H1301" s="11" t="s">
        <v>47</v>
      </c>
    </row>
    <row r="1302" ht="15.75">
      <c r="A1302" s="595"/>
    </row>
    <row r="1303" ht="15.75">
      <c r="A1303" s="3" t="s">
        <v>736</v>
      </c>
    </row>
    <row r="1304" spans="1:8" ht="12.75" customHeight="1">
      <c r="A1304" s="717" t="s">
        <v>0</v>
      </c>
      <c r="B1304" s="714"/>
      <c r="C1304" s="714"/>
      <c r="D1304" s="714"/>
      <c r="E1304" s="714"/>
      <c r="F1304" s="714"/>
      <c r="G1304" s="714"/>
      <c r="H1304" s="714"/>
    </row>
    <row r="1305" spans="1:8" ht="16.5" thickBot="1">
      <c r="A1305" s="597"/>
      <c r="B1305" s="597"/>
      <c r="C1305" s="598"/>
      <c r="D1305" s="598"/>
      <c r="E1305" s="598"/>
      <c r="F1305" s="598"/>
      <c r="G1305" s="598"/>
      <c r="H1305" s="598"/>
    </row>
    <row r="1306" spans="1:8" ht="12.75" customHeight="1">
      <c r="A1306" s="708" t="s">
        <v>617</v>
      </c>
      <c r="B1306" s="710" t="s">
        <v>618</v>
      </c>
      <c r="C1306" s="711" t="s">
        <v>619</v>
      </c>
      <c r="D1306" s="711"/>
      <c r="E1306" s="711"/>
      <c r="F1306" s="711"/>
      <c r="G1306" s="712" t="s">
        <v>620</v>
      </c>
      <c r="H1306" s="708" t="s">
        <v>621</v>
      </c>
    </row>
    <row r="1307" spans="1:8" ht="15.75">
      <c r="A1307" s="708"/>
      <c r="B1307" s="710"/>
      <c r="C1307" s="711"/>
      <c r="D1307" s="711"/>
      <c r="E1307" s="711"/>
      <c r="F1307" s="711"/>
      <c r="G1307" s="712"/>
      <c r="H1307" s="708"/>
    </row>
    <row r="1308" spans="1:8" ht="31.5">
      <c r="A1308" s="708"/>
      <c r="B1308" s="710"/>
      <c r="C1308" s="601" t="s">
        <v>622</v>
      </c>
      <c r="D1308" s="601" t="s">
        <v>623</v>
      </c>
      <c r="E1308" s="602" t="s">
        <v>622</v>
      </c>
      <c r="F1308" s="603" t="s">
        <v>623</v>
      </c>
      <c r="G1308" s="712"/>
      <c r="H1308" s="708"/>
    </row>
    <row r="1309" spans="1:8" ht="15.75">
      <c r="A1309" s="599">
        <v>1</v>
      </c>
      <c r="B1309" s="599">
        <v>2</v>
      </c>
      <c r="C1309" s="604">
        <v>3</v>
      </c>
      <c r="D1309" s="604">
        <v>4</v>
      </c>
      <c r="E1309" s="605"/>
      <c r="F1309" s="606"/>
      <c r="G1309" s="600">
        <v>5</v>
      </c>
      <c r="H1309" s="599">
        <v>6</v>
      </c>
    </row>
    <row r="1310" spans="1:8" ht="12.75" customHeight="1">
      <c r="A1310" s="607">
        <v>1</v>
      </c>
      <c r="B1310" s="709" t="s">
        <v>624</v>
      </c>
      <c r="C1310" s="709"/>
      <c r="D1310" s="709"/>
      <c r="E1310" s="709"/>
      <c r="F1310" s="709"/>
      <c r="G1310" s="709"/>
      <c r="H1310" s="709"/>
    </row>
    <row r="1311" spans="1:8" ht="15.75">
      <c r="A1311" s="608" t="s">
        <v>74</v>
      </c>
      <c r="B1311" s="609" t="s">
        <v>625</v>
      </c>
      <c r="C1311" s="610" t="s">
        <v>379</v>
      </c>
      <c r="D1311" s="610" t="s">
        <v>379</v>
      </c>
      <c r="E1311" s="610" t="s">
        <v>379</v>
      </c>
      <c r="F1311" s="610" t="s">
        <v>379</v>
      </c>
      <c r="G1311" s="610" t="s">
        <v>379</v>
      </c>
      <c r="H1311" s="611" t="s">
        <v>626</v>
      </c>
    </row>
    <row r="1312" spans="1:8" ht="15.75">
      <c r="A1312" s="608" t="s">
        <v>313</v>
      </c>
      <c r="B1312" s="609" t="s">
        <v>627</v>
      </c>
      <c r="C1312" s="610" t="s">
        <v>379</v>
      </c>
      <c r="D1312" s="610" t="s">
        <v>379</v>
      </c>
      <c r="E1312" s="610" t="s">
        <v>379</v>
      </c>
      <c r="F1312" s="610" t="s">
        <v>379</v>
      </c>
      <c r="G1312" s="610" t="s">
        <v>379</v>
      </c>
      <c r="H1312" s="611" t="s">
        <v>626</v>
      </c>
    </row>
    <row r="1313" spans="1:8" ht="31.5">
      <c r="A1313" s="608" t="s">
        <v>315</v>
      </c>
      <c r="B1313" s="612" t="s">
        <v>628</v>
      </c>
      <c r="C1313" s="610" t="s">
        <v>379</v>
      </c>
      <c r="D1313" s="610" t="s">
        <v>379</v>
      </c>
      <c r="E1313" s="610" t="s">
        <v>379</v>
      </c>
      <c r="F1313" s="610" t="s">
        <v>379</v>
      </c>
      <c r="G1313" s="610" t="s">
        <v>379</v>
      </c>
      <c r="H1313" s="611" t="s">
        <v>626</v>
      </c>
    </row>
    <row r="1314" spans="1:8" ht="47.25">
      <c r="A1314" s="608" t="s">
        <v>317</v>
      </c>
      <c r="B1314" s="612" t="s">
        <v>629</v>
      </c>
      <c r="C1314" s="610" t="s">
        <v>379</v>
      </c>
      <c r="D1314" s="610" t="s">
        <v>379</v>
      </c>
      <c r="E1314" s="610" t="s">
        <v>379</v>
      </c>
      <c r="F1314" s="610" t="s">
        <v>379</v>
      </c>
      <c r="G1314" s="610" t="s">
        <v>379</v>
      </c>
      <c r="H1314" s="611" t="s">
        <v>626</v>
      </c>
    </row>
    <row r="1315" spans="1:8" ht="15.75">
      <c r="A1315" s="608" t="s">
        <v>630</v>
      </c>
      <c r="B1315" s="613" t="s">
        <v>631</v>
      </c>
      <c r="C1315" s="610" t="s">
        <v>379</v>
      </c>
      <c r="D1315" s="610" t="s">
        <v>379</v>
      </c>
      <c r="E1315" s="610" t="s">
        <v>379</v>
      </c>
      <c r="F1315" s="610" t="s">
        <v>379</v>
      </c>
      <c r="G1315" s="610" t="s">
        <v>379</v>
      </c>
      <c r="H1315" s="611" t="s">
        <v>626</v>
      </c>
    </row>
    <row r="1316" spans="1:8" ht="15.75">
      <c r="A1316" s="608" t="s">
        <v>632</v>
      </c>
      <c r="B1316" s="613" t="s">
        <v>633</v>
      </c>
      <c r="C1316" s="610" t="s">
        <v>379</v>
      </c>
      <c r="D1316" s="610" t="s">
        <v>379</v>
      </c>
      <c r="E1316" s="610" t="s">
        <v>379</v>
      </c>
      <c r="F1316" s="610" t="s">
        <v>379</v>
      </c>
      <c r="G1316" s="610" t="s">
        <v>379</v>
      </c>
      <c r="H1316" s="611" t="s">
        <v>626</v>
      </c>
    </row>
    <row r="1317" spans="1:8" ht="12.75" customHeight="1">
      <c r="A1317" s="608">
        <v>2</v>
      </c>
      <c r="B1317" s="706" t="s">
        <v>634</v>
      </c>
      <c r="C1317" s="706"/>
      <c r="D1317" s="706"/>
      <c r="E1317" s="706"/>
      <c r="F1317" s="706"/>
      <c r="G1317" s="706"/>
      <c r="H1317" s="706"/>
    </row>
    <row r="1318" spans="1:8" ht="31.5">
      <c r="A1318" s="608" t="s">
        <v>321</v>
      </c>
      <c r="B1318" s="612" t="s">
        <v>635</v>
      </c>
      <c r="C1318" s="610" t="s">
        <v>710</v>
      </c>
      <c r="D1318" s="610" t="s">
        <v>711</v>
      </c>
      <c r="E1318" s="610" t="s">
        <v>379</v>
      </c>
      <c r="F1318" s="610" t="s">
        <v>379</v>
      </c>
      <c r="G1318" s="614">
        <v>0</v>
      </c>
      <c r="H1318" s="611"/>
    </row>
    <row r="1319" spans="1:8" ht="47.25">
      <c r="A1319" s="608" t="s">
        <v>325</v>
      </c>
      <c r="B1319" s="612" t="s">
        <v>638</v>
      </c>
      <c r="C1319" s="610" t="s">
        <v>379</v>
      </c>
      <c r="D1319" s="610" t="s">
        <v>379</v>
      </c>
      <c r="E1319" s="610" t="s">
        <v>379</v>
      </c>
      <c r="F1319" s="610" t="s">
        <v>379</v>
      </c>
      <c r="G1319" s="610" t="s">
        <v>379</v>
      </c>
      <c r="H1319" s="611" t="s">
        <v>626</v>
      </c>
    </row>
    <row r="1320" spans="1:8" ht="31.5">
      <c r="A1320" s="608" t="s">
        <v>639</v>
      </c>
      <c r="B1320" s="612" t="s">
        <v>640</v>
      </c>
      <c r="C1320" s="610" t="s">
        <v>379</v>
      </c>
      <c r="D1320" s="610" t="s">
        <v>379</v>
      </c>
      <c r="E1320" s="610" t="s">
        <v>379</v>
      </c>
      <c r="F1320" s="610" t="s">
        <v>379</v>
      </c>
      <c r="G1320" s="610" t="s">
        <v>379</v>
      </c>
      <c r="H1320" s="611" t="s">
        <v>626</v>
      </c>
    </row>
    <row r="1321" spans="1:8" ht="12.75" customHeight="1">
      <c r="A1321" s="608">
        <v>3</v>
      </c>
      <c r="B1321" s="706" t="s">
        <v>641</v>
      </c>
      <c r="C1321" s="706"/>
      <c r="D1321" s="706"/>
      <c r="E1321" s="706"/>
      <c r="F1321" s="706"/>
      <c r="G1321" s="706"/>
      <c r="H1321" s="706"/>
    </row>
    <row r="1322" spans="1:8" ht="31.5">
      <c r="A1322" s="608" t="s">
        <v>378</v>
      </c>
      <c r="B1322" s="613" t="s">
        <v>642</v>
      </c>
      <c r="C1322" s="610" t="s">
        <v>379</v>
      </c>
      <c r="D1322" s="610" t="s">
        <v>379</v>
      </c>
      <c r="E1322" s="610" t="s">
        <v>379</v>
      </c>
      <c r="F1322" s="610" t="s">
        <v>379</v>
      </c>
      <c r="G1322" s="610" t="s">
        <v>379</v>
      </c>
      <c r="H1322" s="611" t="s">
        <v>626</v>
      </c>
    </row>
    <row r="1323" spans="1:8" ht="15.75">
      <c r="A1323" s="608" t="s">
        <v>643</v>
      </c>
      <c r="B1323" s="613" t="s">
        <v>644</v>
      </c>
      <c r="C1323" s="610" t="s">
        <v>710</v>
      </c>
      <c r="D1323" s="610" t="s">
        <v>712</v>
      </c>
      <c r="E1323" s="610" t="s">
        <v>379</v>
      </c>
      <c r="F1323" s="610" t="s">
        <v>379</v>
      </c>
      <c r="G1323" s="614">
        <v>0</v>
      </c>
      <c r="H1323" s="611"/>
    </row>
    <row r="1324" spans="1:8" ht="15.75">
      <c r="A1324" s="608" t="s">
        <v>380</v>
      </c>
      <c r="B1324" s="613" t="s">
        <v>646</v>
      </c>
      <c r="C1324" s="610" t="s">
        <v>713</v>
      </c>
      <c r="D1324" s="610" t="s">
        <v>714</v>
      </c>
      <c r="E1324" s="610" t="s">
        <v>379</v>
      </c>
      <c r="F1324" s="610" t="s">
        <v>379</v>
      </c>
      <c r="G1324" s="614">
        <v>0</v>
      </c>
      <c r="H1324" s="611"/>
    </row>
    <row r="1325" spans="1:8" ht="15.75">
      <c r="A1325" s="608" t="s">
        <v>649</v>
      </c>
      <c r="B1325" s="613" t="s">
        <v>650</v>
      </c>
      <c r="C1325" s="610" t="s">
        <v>715</v>
      </c>
      <c r="D1325" s="610" t="s">
        <v>716</v>
      </c>
      <c r="E1325" s="610" t="s">
        <v>379</v>
      </c>
      <c r="F1325" s="610" t="s">
        <v>379</v>
      </c>
      <c r="G1325" s="614">
        <v>0</v>
      </c>
      <c r="H1325" s="611"/>
    </row>
    <row r="1326" spans="1:8" ht="15.75">
      <c r="A1326" s="608" t="s">
        <v>653</v>
      </c>
      <c r="B1326" s="613" t="s">
        <v>654</v>
      </c>
      <c r="C1326" s="610" t="s">
        <v>717</v>
      </c>
      <c r="D1326" s="610" t="s">
        <v>711</v>
      </c>
      <c r="E1326" s="610" t="s">
        <v>379</v>
      </c>
      <c r="F1326" s="610" t="s">
        <v>379</v>
      </c>
      <c r="G1326" s="614">
        <v>0</v>
      </c>
      <c r="H1326" s="611"/>
    </row>
    <row r="1327" spans="1:8" ht="12.75" customHeight="1">
      <c r="A1327" s="608">
        <v>4</v>
      </c>
      <c r="B1327" s="706" t="s">
        <v>656</v>
      </c>
      <c r="C1327" s="706"/>
      <c r="D1327" s="706"/>
      <c r="E1327" s="706"/>
      <c r="F1327" s="706"/>
      <c r="G1327" s="706"/>
      <c r="H1327" s="706"/>
    </row>
    <row r="1328" spans="1:8" ht="31.5">
      <c r="A1328" s="608" t="s">
        <v>657</v>
      </c>
      <c r="B1328" s="612" t="s">
        <v>658</v>
      </c>
      <c r="C1328" s="610" t="s">
        <v>379</v>
      </c>
      <c r="D1328" s="610" t="s">
        <v>379</v>
      </c>
      <c r="E1328" s="610" t="s">
        <v>379</v>
      </c>
      <c r="F1328" s="610" t="s">
        <v>379</v>
      </c>
      <c r="G1328" s="610" t="s">
        <v>379</v>
      </c>
      <c r="H1328" s="611" t="s">
        <v>626</v>
      </c>
    </row>
    <row r="1329" spans="1:8" ht="47.25">
      <c r="A1329" s="608" t="s">
        <v>659</v>
      </c>
      <c r="B1329" s="612" t="s">
        <v>660</v>
      </c>
      <c r="C1329" s="610" t="s">
        <v>379</v>
      </c>
      <c r="D1329" s="610" t="s">
        <v>379</v>
      </c>
      <c r="E1329" s="610" t="s">
        <v>379</v>
      </c>
      <c r="F1329" s="610" t="s">
        <v>379</v>
      </c>
      <c r="G1329" s="610" t="s">
        <v>379</v>
      </c>
      <c r="H1329" s="611" t="s">
        <v>626</v>
      </c>
    </row>
    <row r="1330" spans="1:8" ht="31.5">
      <c r="A1330" s="608" t="s">
        <v>661</v>
      </c>
      <c r="B1330" s="613" t="s">
        <v>662</v>
      </c>
      <c r="C1330" s="610" t="s">
        <v>379</v>
      </c>
      <c r="D1330" s="610" t="s">
        <v>379</v>
      </c>
      <c r="E1330" s="610" t="s">
        <v>379</v>
      </c>
      <c r="F1330" s="610" t="s">
        <v>379</v>
      </c>
      <c r="G1330" s="610" t="s">
        <v>379</v>
      </c>
      <c r="H1330" s="611" t="s">
        <v>626</v>
      </c>
    </row>
    <row r="1331" spans="1:8" ht="31.5">
      <c r="A1331" s="615" t="s">
        <v>663</v>
      </c>
      <c r="B1331" s="616" t="s">
        <v>664</v>
      </c>
      <c r="C1331" s="617" t="s">
        <v>379</v>
      </c>
      <c r="D1331" s="617" t="s">
        <v>379</v>
      </c>
      <c r="E1331" s="617" t="s">
        <v>379</v>
      </c>
      <c r="F1331" s="617" t="s">
        <v>379</v>
      </c>
      <c r="G1331" s="617" t="s">
        <v>379</v>
      </c>
      <c r="H1331" s="618" t="s">
        <v>626</v>
      </c>
    </row>
    <row r="1332" spans="1:8" ht="15.75">
      <c r="A1332" s="619"/>
      <c r="B1332" s="620"/>
      <c r="C1332" s="621"/>
      <c r="D1332" s="621"/>
      <c r="E1332" s="621"/>
      <c r="F1332" s="621"/>
      <c r="G1332" s="621"/>
      <c r="H1332" s="148"/>
    </row>
    <row r="1333" spans="1:8" ht="12.75" customHeight="1">
      <c r="A1333" s="707" t="s">
        <v>665</v>
      </c>
      <c r="B1333" s="707"/>
      <c r="C1333" s="707"/>
      <c r="D1333" s="707"/>
      <c r="E1333" s="707"/>
      <c r="F1333" s="707"/>
      <c r="G1333" s="707"/>
      <c r="H1333" s="707"/>
    </row>
    <row r="1339" ht="15.75">
      <c r="H1339" s="11" t="s">
        <v>609</v>
      </c>
    </row>
    <row r="1340" ht="15.75">
      <c r="H1340" s="11" t="s">
        <v>610</v>
      </c>
    </row>
    <row r="1341" ht="15.75">
      <c r="H1341" s="11" t="s">
        <v>611</v>
      </c>
    </row>
    <row r="1342" ht="15.75">
      <c r="H1342" s="11"/>
    </row>
    <row r="1343" spans="1:8" ht="12.75" customHeight="1">
      <c r="A1343" s="713" t="s">
        <v>612</v>
      </c>
      <c r="B1343" s="713"/>
      <c r="C1343" s="713"/>
      <c r="D1343" s="713"/>
      <c r="E1343" s="713"/>
      <c r="F1343" s="713"/>
      <c r="G1343" s="713"/>
      <c r="H1343" s="713"/>
    </row>
    <row r="1344" spans="1:8" ht="12.75" customHeight="1">
      <c r="A1344" s="713" t="s">
        <v>613</v>
      </c>
      <c r="B1344" s="713"/>
      <c r="C1344" s="713"/>
      <c r="D1344" s="713"/>
      <c r="E1344" s="713"/>
      <c r="F1344" s="713"/>
      <c r="G1344" s="713"/>
      <c r="H1344" s="713"/>
    </row>
    <row r="1345" ht="15.75">
      <c r="H1345" s="11" t="s">
        <v>43</v>
      </c>
    </row>
    <row r="1346" ht="15.75">
      <c r="H1346" s="11" t="s">
        <v>44</v>
      </c>
    </row>
    <row r="1347" ht="15.75">
      <c r="H1347" s="11" t="s">
        <v>45</v>
      </c>
    </row>
    <row r="1348" ht="15.75">
      <c r="H1348" s="594" t="s">
        <v>614</v>
      </c>
    </row>
    <row r="1349" ht="15.75">
      <c r="H1349" s="11" t="s">
        <v>615</v>
      </c>
    </row>
    <row r="1350" ht="15.75">
      <c r="H1350" s="11" t="s">
        <v>47</v>
      </c>
    </row>
    <row r="1351" ht="15.75">
      <c r="A1351" s="595"/>
    </row>
    <row r="1352" ht="15.75">
      <c r="A1352" s="3" t="s">
        <v>737</v>
      </c>
    </row>
    <row r="1353" spans="1:8" ht="12.75" customHeight="1">
      <c r="A1353" s="717" t="s">
        <v>0</v>
      </c>
      <c r="B1353" s="714"/>
      <c r="C1353" s="714"/>
      <c r="D1353" s="714"/>
      <c r="E1353" s="714"/>
      <c r="F1353" s="714"/>
      <c r="G1353" s="714"/>
      <c r="H1353" s="714"/>
    </row>
    <row r="1354" spans="1:8" ht="16.5" thickBot="1">
      <c r="A1354" s="597"/>
      <c r="B1354" s="597"/>
      <c r="C1354" s="598"/>
      <c r="D1354" s="598"/>
      <c r="E1354" s="598"/>
      <c r="F1354" s="598"/>
      <c r="G1354" s="598"/>
      <c r="H1354" s="598"/>
    </row>
    <row r="1355" spans="1:8" ht="12.75" customHeight="1">
      <c r="A1355" s="708" t="s">
        <v>617</v>
      </c>
      <c r="B1355" s="710" t="s">
        <v>618</v>
      </c>
      <c r="C1355" s="711" t="s">
        <v>619</v>
      </c>
      <c r="D1355" s="711"/>
      <c r="E1355" s="711"/>
      <c r="F1355" s="711"/>
      <c r="G1355" s="712" t="s">
        <v>620</v>
      </c>
      <c r="H1355" s="708" t="s">
        <v>621</v>
      </c>
    </row>
    <row r="1356" spans="1:8" ht="15.75">
      <c r="A1356" s="708"/>
      <c r="B1356" s="710"/>
      <c r="C1356" s="711"/>
      <c r="D1356" s="711"/>
      <c r="E1356" s="711"/>
      <c r="F1356" s="711"/>
      <c r="G1356" s="712"/>
      <c r="H1356" s="708"/>
    </row>
    <row r="1357" spans="1:8" ht="31.5">
      <c r="A1357" s="708"/>
      <c r="B1357" s="710"/>
      <c r="C1357" s="601" t="s">
        <v>622</v>
      </c>
      <c r="D1357" s="601" t="s">
        <v>623</v>
      </c>
      <c r="E1357" s="602" t="s">
        <v>622</v>
      </c>
      <c r="F1357" s="603" t="s">
        <v>623</v>
      </c>
      <c r="G1357" s="712"/>
      <c r="H1357" s="708"/>
    </row>
    <row r="1358" spans="1:8" ht="15.75">
      <c r="A1358" s="599">
        <v>1</v>
      </c>
      <c r="B1358" s="599">
        <v>2</v>
      </c>
      <c r="C1358" s="604">
        <v>3</v>
      </c>
      <c r="D1358" s="604">
        <v>4</v>
      </c>
      <c r="E1358" s="605"/>
      <c r="F1358" s="606"/>
      <c r="G1358" s="600">
        <v>5</v>
      </c>
      <c r="H1358" s="599">
        <v>6</v>
      </c>
    </row>
    <row r="1359" spans="1:8" ht="12.75" customHeight="1">
      <c r="A1359" s="607">
        <v>1</v>
      </c>
      <c r="B1359" s="709" t="s">
        <v>624</v>
      </c>
      <c r="C1359" s="709"/>
      <c r="D1359" s="709"/>
      <c r="E1359" s="709"/>
      <c r="F1359" s="709"/>
      <c r="G1359" s="709"/>
      <c r="H1359" s="709"/>
    </row>
    <row r="1360" spans="1:8" ht="15.75">
      <c r="A1360" s="608" t="s">
        <v>74</v>
      </c>
      <c r="B1360" s="609" t="s">
        <v>625</v>
      </c>
      <c r="C1360" s="610" t="s">
        <v>379</v>
      </c>
      <c r="D1360" s="610" t="s">
        <v>379</v>
      </c>
      <c r="E1360" s="610" t="s">
        <v>379</v>
      </c>
      <c r="F1360" s="610" t="s">
        <v>379</v>
      </c>
      <c r="G1360" s="610" t="s">
        <v>379</v>
      </c>
      <c r="H1360" s="611" t="s">
        <v>626</v>
      </c>
    </row>
    <row r="1361" spans="1:8" ht="15.75">
      <c r="A1361" s="608" t="s">
        <v>313</v>
      </c>
      <c r="B1361" s="609" t="s">
        <v>627</v>
      </c>
      <c r="C1361" s="610" t="s">
        <v>379</v>
      </c>
      <c r="D1361" s="610" t="s">
        <v>379</v>
      </c>
      <c r="E1361" s="610" t="s">
        <v>379</v>
      </c>
      <c r="F1361" s="610" t="s">
        <v>379</v>
      </c>
      <c r="G1361" s="610" t="s">
        <v>379</v>
      </c>
      <c r="H1361" s="611" t="s">
        <v>626</v>
      </c>
    </row>
    <row r="1362" spans="1:8" ht="31.5">
      <c r="A1362" s="608" t="s">
        <v>315</v>
      </c>
      <c r="B1362" s="612" t="s">
        <v>628</v>
      </c>
      <c r="C1362" s="610" t="s">
        <v>379</v>
      </c>
      <c r="D1362" s="610" t="s">
        <v>379</v>
      </c>
      <c r="E1362" s="610" t="s">
        <v>379</v>
      </c>
      <c r="F1362" s="610" t="s">
        <v>379</v>
      </c>
      <c r="G1362" s="610" t="s">
        <v>379</v>
      </c>
      <c r="H1362" s="611" t="s">
        <v>626</v>
      </c>
    </row>
    <row r="1363" spans="1:8" ht="47.25">
      <c r="A1363" s="608" t="s">
        <v>317</v>
      </c>
      <c r="B1363" s="612" t="s">
        <v>629</v>
      </c>
      <c r="C1363" s="610" t="s">
        <v>379</v>
      </c>
      <c r="D1363" s="610" t="s">
        <v>379</v>
      </c>
      <c r="E1363" s="610" t="s">
        <v>379</v>
      </c>
      <c r="F1363" s="610" t="s">
        <v>379</v>
      </c>
      <c r="G1363" s="610" t="s">
        <v>379</v>
      </c>
      <c r="H1363" s="611" t="s">
        <v>626</v>
      </c>
    </row>
    <row r="1364" spans="1:8" ht="15.75">
      <c r="A1364" s="608" t="s">
        <v>630</v>
      </c>
      <c r="B1364" s="613" t="s">
        <v>631</v>
      </c>
      <c r="C1364" s="610" t="s">
        <v>379</v>
      </c>
      <c r="D1364" s="610" t="s">
        <v>379</v>
      </c>
      <c r="E1364" s="610" t="s">
        <v>379</v>
      </c>
      <c r="F1364" s="610" t="s">
        <v>379</v>
      </c>
      <c r="G1364" s="610" t="s">
        <v>379</v>
      </c>
      <c r="H1364" s="611" t="s">
        <v>626</v>
      </c>
    </row>
    <row r="1365" spans="1:8" ht="15.75">
      <c r="A1365" s="608" t="s">
        <v>632</v>
      </c>
      <c r="B1365" s="613" t="s">
        <v>633</v>
      </c>
      <c r="C1365" s="610" t="s">
        <v>379</v>
      </c>
      <c r="D1365" s="610" t="s">
        <v>379</v>
      </c>
      <c r="E1365" s="610" t="s">
        <v>379</v>
      </c>
      <c r="F1365" s="610" t="s">
        <v>379</v>
      </c>
      <c r="G1365" s="610" t="s">
        <v>379</v>
      </c>
      <c r="H1365" s="611" t="s">
        <v>626</v>
      </c>
    </row>
    <row r="1366" spans="1:8" ht="12.75" customHeight="1">
      <c r="A1366" s="608">
        <v>2</v>
      </c>
      <c r="B1366" s="706" t="s">
        <v>634</v>
      </c>
      <c r="C1366" s="706"/>
      <c r="D1366" s="706"/>
      <c r="E1366" s="706"/>
      <c r="F1366" s="706"/>
      <c r="G1366" s="706"/>
      <c r="H1366" s="706"/>
    </row>
    <row r="1367" spans="1:8" ht="31.5">
      <c r="A1367" s="608" t="s">
        <v>321</v>
      </c>
      <c r="B1367" s="612" t="s">
        <v>635</v>
      </c>
      <c r="C1367" s="610" t="s">
        <v>710</v>
      </c>
      <c r="D1367" s="610" t="s">
        <v>711</v>
      </c>
      <c r="E1367" s="610" t="s">
        <v>379</v>
      </c>
      <c r="F1367" s="610" t="s">
        <v>379</v>
      </c>
      <c r="G1367" s="614">
        <v>0</v>
      </c>
      <c r="H1367" s="611"/>
    </row>
    <row r="1368" spans="1:8" ht="47.25">
      <c r="A1368" s="608" t="s">
        <v>325</v>
      </c>
      <c r="B1368" s="612" t="s">
        <v>638</v>
      </c>
      <c r="C1368" s="610" t="s">
        <v>379</v>
      </c>
      <c r="D1368" s="610" t="s">
        <v>379</v>
      </c>
      <c r="E1368" s="610" t="s">
        <v>379</v>
      </c>
      <c r="F1368" s="610" t="s">
        <v>379</v>
      </c>
      <c r="G1368" s="610" t="s">
        <v>379</v>
      </c>
      <c r="H1368" s="611" t="s">
        <v>626</v>
      </c>
    </row>
    <row r="1369" spans="1:8" ht="31.5">
      <c r="A1369" s="608" t="s">
        <v>639</v>
      </c>
      <c r="B1369" s="612" t="s">
        <v>640</v>
      </c>
      <c r="C1369" s="610" t="s">
        <v>379</v>
      </c>
      <c r="D1369" s="610" t="s">
        <v>379</v>
      </c>
      <c r="E1369" s="610" t="s">
        <v>379</v>
      </c>
      <c r="F1369" s="610" t="s">
        <v>379</v>
      </c>
      <c r="G1369" s="610" t="s">
        <v>379</v>
      </c>
      <c r="H1369" s="611" t="s">
        <v>626</v>
      </c>
    </row>
    <row r="1370" spans="1:8" ht="12.75" customHeight="1">
      <c r="A1370" s="608">
        <v>3</v>
      </c>
      <c r="B1370" s="706" t="s">
        <v>641</v>
      </c>
      <c r="C1370" s="706"/>
      <c r="D1370" s="706"/>
      <c r="E1370" s="706"/>
      <c r="F1370" s="706"/>
      <c r="G1370" s="706"/>
      <c r="H1370" s="706"/>
    </row>
    <row r="1371" spans="1:8" ht="31.5">
      <c r="A1371" s="608" t="s">
        <v>378</v>
      </c>
      <c r="B1371" s="613" t="s">
        <v>642</v>
      </c>
      <c r="C1371" s="610" t="s">
        <v>379</v>
      </c>
      <c r="D1371" s="610" t="s">
        <v>379</v>
      </c>
      <c r="E1371" s="610" t="s">
        <v>379</v>
      </c>
      <c r="F1371" s="610" t="s">
        <v>379</v>
      </c>
      <c r="G1371" s="610" t="s">
        <v>379</v>
      </c>
      <c r="H1371" s="611" t="s">
        <v>626</v>
      </c>
    </row>
    <row r="1372" spans="1:8" ht="15.75">
      <c r="A1372" s="608" t="s">
        <v>643</v>
      </c>
      <c r="B1372" s="613" t="s">
        <v>644</v>
      </c>
      <c r="C1372" s="610" t="s">
        <v>710</v>
      </c>
      <c r="D1372" s="610" t="s">
        <v>712</v>
      </c>
      <c r="E1372" s="610" t="s">
        <v>379</v>
      </c>
      <c r="F1372" s="610" t="s">
        <v>379</v>
      </c>
      <c r="G1372" s="614">
        <v>0</v>
      </c>
      <c r="H1372" s="611"/>
    </row>
    <row r="1373" spans="1:8" ht="15.75">
      <c r="A1373" s="608" t="s">
        <v>380</v>
      </c>
      <c r="B1373" s="613" t="s">
        <v>646</v>
      </c>
      <c r="C1373" s="610" t="s">
        <v>713</v>
      </c>
      <c r="D1373" s="610" t="s">
        <v>714</v>
      </c>
      <c r="E1373" s="610" t="s">
        <v>379</v>
      </c>
      <c r="F1373" s="610" t="s">
        <v>379</v>
      </c>
      <c r="G1373" s="614">
        <v>0</v>
      </c>
      <c r="H1373" s="611"/>
    </row>
    <row r="1374" spans="1:8" ht="15.75">
      <c r="A1374" s="608" t="s">
        <v>649</v>
      </c>
      <c r="B1374" s="613" t="s">
        <v>650</v>
      </c>
      <c r="C1374" s="610" t="s">
        <v>715</v>
      </c>
      <c r="D1374" s="610" t="s">
        <v>716</v>
      </c>
      <c r="E1374" s="610" t="s">
        <v>379</v>
      </c>
      <c r="F1374" s="610" t="s">
        <v>379</v>
      </c>
      <c r="G1374" s="614">
        <v>0</v>
      </c>
      <c r="H1374" s="611"/>
    </row>
    <row r="1375" spans="1:8" ht="15.75">
      <c r="A1375" s="608" t="s">
        <v>653</v>
      </c>
      <c r="B1375" s="613" t="s">
        <v>654</v>
      </c>
      <c r="C1375" s="610" t="s">
        <v>717</v>
      </c>
      <c r="D1375" s="610" t="s">
        <v>711</v>
      </c>
      <c r="E1375" s="610" t="s">
        <v>379</v>
      </c>
      <c r="F1375" s="610" t="s">
        <v>379</v>
      </c>
      <c r="G1375" s="614">
        <v>0</v>
      </c>
      <c r="H1375" s="611"/>
    </row>
    <row r="1376" spans="1:8" ht="12.75" customHeight="1">
      <c r="A1376" s="608">
        <v>4</v>
      </c>
      <c r="B1376" s="706" t="s">
        <v>656</v>
      </c>
      <c r="C1376" s="706"/>
      <c r="D1376" s="706"/>
      <c r="E1376" s="706"/>
      <c r="F1376" s="706"/>
      <c r="G1376" s="706"/>
      <c r="H1376" s="706"/>
    </row>
    <row r="1377" spans="1:8" ht="31.5">
      <c r="A1377" s="608" t="s">
        <v>657</v>
      </c>
      <c r="B1377" s="612" t="s">
        <v>658</v>
      </c>
      <c r="C1377" s="610" t="s">
        <v>379</v>
      </c>
      <c r="D1377" s="610" t="s">
        <v>379</v>
      </c>
      <c r="E1377" s="610" t="s">
        <v>379</v>
      </c>
      <c r="F1377" s="610" t="s">
        <v>379</v>
      </c>
      <c r="G1377" s="610" t="s">
        <v>379</v>
      </c>
      <c r="H1377" s="611" t="s">
        <v>626</v>
      </c>
    </row>
    <row r="1378" spans="1:8" ht="47.25">
      <c r="A1378" s="608" t="s">
        <v>659</v>
      </c>
      <c r="B1378" s="612" t="s">
        <v>660</v>
      </c>
      <c r="C1378" s="610" t="s">
        <v>379</v>
      </c>
      <c r="D1378" s="610" t="s">
        <v>379</v>
      </c>
      <c r="E1378" s="610" t="s">
        <v>379</v>
      </c>
      <c r="F1378" s="610" t="s">
        <v>379</v>
      </c>
      <c r="G1378" s="610" t="s">
        <v>379</v>
      </c>
      <c r="H1378" s="611" t="s">
        <v>626</v>
      </c>
    </row>
    <row r="1379" spans="1:8" ht="31.5">
      <c r="A1379" s="608" t="s">
        <v>661</v>
      </c>
      <c r="B1379" s="613" t="s">
        <v>662</v>
      </c>
      <c r="C1379" s="610" t="s">
        <v>379</v>
      </c>
      <c r="D1379" s="610" t="s">
        <v>379</v>
      </c>
      <c r="E1379" s="610" t="s">
        <v>379</v>
      </c>
      <c r="F1379" s="610" t="s">
        <v>379</v>
      </c>
      <c r="G1379" s="610" t="s">
        <v>379</v>
      </c>
      <c r="H1379" s="611" t="s">
        <v>626</v>
      </c>
    </row>
    <row r="1380" spans="1:8" ht="31.5">
      <c r="A1380" s="615" t="s">
        <v>663</v>
      </c>
      <c r="B1380" s="616" t="s">
        <v>664</v>
      </c>
      <c r="C1380" s="617" t="s">
        <v>379</v>
      </c>
      <c r="D1380" s="617" t="s">
        <v>379</v>
      </c>
      <c r="E1380" s="617" t="s">
        <v>379</v>
      </c>
      <c r="F1380" s="617" t="s">
        <v>379</v>
      </c>
      <c r="G1380" s="617" t="s">
        <v>379</v>
      </c>
      <c r="H1380" s="618" t="s">
        <v>626</v>
      </c>
    </row>
    <row r="1381" spans="1:8" ht="15.75">
      <c r="A1381" s="619"/>
      <c r="B1381" s="620"/>
      <c r="C1381" s="621"/>
      <c r="D1381" s="621"/>
      <c r="E1381" s="621"/>
      <c r="F1381" s="621"/>
      <c r="G1381" s="621"/>
      <c r="H1381" s="148"/>
    </row>
    <row r="1382" spans="1:8" ht="12.75" customHeight="1">
      <c r="A1382" s="707" t="s">
        <v>665</v>
      </c>
      <c r="B1382" s="707"/>
      <c r="C1382" s="707"/>
      <c r="D1382" s="707"/>
      <c r="E1382" s="707"/>
      <c r="F1382" s="707"/>
      <c r="G1382" s="707"/>
      <c r="H1382" s="707"/>
    </row>
    <row r="1386" ht="15.75">
      <c r="H1386" s="11" t="s">
        <v>609</v>
      </c>
    </row>
    <row r="1387" ht="15.75">
      <c r="H1387" s="11" t="s">
        <v>610</v>
      </c>
    </row>
    <row r="1388" ht="15.75">
      <c r="H1388" s="11" t="s">
        <v>611</v>
      </c>
    </row>
    <row r="1389" ht="15.75">
      <c r="H1389" s="11"/>
    </row>
    <row r="1390" spans="1:8" ht="12.75" customHeight="1">
      <c r="A1390" s="713" t="s">
        <v>612</v>
      </c>
      <c r="B1390" s="713"/>
      <c r="C1390" s="713"/>
      <c r="D1390" s="713"/>
      <c r="E1390" s="713"/>
      <c r="F1390" s="713"/>
      <c r="G1390" s="713"/>
      <c r="H1390" s="713"/>
    </row>
    <row r="1391" spans="1:8" ht="12.75" customHeight="1">
      <c r="A1391" s="713" t="s">
        <v>613</v>
      </c>
      <c r="B1391" s="713"/>
      <c r="C1391" s="713"/>
      <c r="D1391" s="713"/>
      <c r="E1391" s="713"/>
      <c r="F1391" s="713"/>
      <c r="G1391" s="713"/>
      <c r="H1391" s="713"/>
    </row>
    <row r="1392" ht="15.75">
      <c r="H1392" s="11" t="s">
        <v>43</v>
      </c>
    </row>
    <row r="1393" ht="15.75">
      <c r="H1393" s="11" t="s">
        <v>44</v>
      </c>
    </row>
    <row r="1394" ht="15.75">
      <c r="H1394" s="11" t="s">
        <v>45</v>
      </c>
    </row>
    <row r="1395" ht="15.75">
      <c r="H1395" s="594" t="s">
        <v>614</v>
      </c>
    </row>
    <row r="1396" ht="15.75">
      <c r="H1396" s="11" t="s">
        <v>615</v>
      </c>
    </row>
    <row r="1397" ht="15.75">
      <c r="H1397" s="11" t="s">
        <v>47</v>
      </c>
    </row>
    <row r="1398" ht="15.75">
      <c r="A1398" s="595"/>
    </row>
    <row r="1399" ht="15.75">
      <c r="A1399" s="3" t="s">
        <v>738</v>
      </c>
    </row>
    <row r="1400" spans="1:8" ht="12.75" customHeight="1">
      <c r="A1400" s="717" t="s">
        <v>0</v>
      </c>
      <c r="B1400" s="714"/>
      <c r="C1400" s="714"/>
      <c r="D1400" s="714"/>
      <c r="E1400" s="714"/>
      <c r="F1400" s="714"/>
      <c r="G1400" s="714"/>
      <c r="H1400" s="714"/>
    </row>
    <row r="1401" spans="1:8" ht="16.5" thickBot="1">
      <c r="A1401" s="597"/>
      <c r="B1401" s="597"/>
      <c r="C1401" s="598"/>
      <c r="D1401" s="598"/>
      <c r="E1401" s="598"/>
      <c r="F1401" s="598"/>
      <c r="G1401" s="598"/>
      <c r="H1401" s="598"/>
    </row>
    <row r="1402" spans="1:8" ht="12.75" customHeight="1">
      <c r="A1402" s="708" t="s">
        <v>617</v>
      </c>
      <c r="B1402" s="710" t="s">
        <v>618</v>
      </c>
      <c r="C1402" s="711" t="s">
        <v>619</v>
      </c>
      <c r="D1402" s="711"/>
      <c r="E1402" s="711"/>
      <c r="F1402" s="711"/>
      <c r="G1402" s="712" t="s">
        <v>620</v>
      </c>
      <c r="H1402" s="708" t="s">
        <v>621</v>
      </c>
    </row>
    <row r="1403" spans="1:8" ht="15.75">
      <c r="A1403" s="708"/>
      <c r="B1403" s="710"/>
      <c r="C1403" s="711"/>
      <c r="D1403" s="711"/>
      <c r="E1403" s="711"/>
      <c r="F1403" s="711"/>
      <c r="G1403" s="712"/>
      <c r="H1403" s="708"/>
    </row>
    <row r="1404" spans="1:8" ht="31.5">
      <c r="A1404" s="708"/>
      <c r="B1404" s="710"/>
      <c r="C1404" s="601" t="s">
        <v>622</v>
      </c>
      <c r="D1404" s="601" t="s">
        <v>623</v>
      </c>
      <c r="E1404" s="602" t="s">
        <v>622</v>
      </c>
      <c r="F1404" s="603" t="s">
        <v>623</v>
      </c>
      <c r="G1404" s="712"/>
      <c r="H1404" s="708"/>
    </row>
    <row r="1405" spans="1:8" ht="15.75">
      <c r="A1405" s="599">
        <v>1</v>
      </c>
      <c r="B1405" s="599">
        <v>2</v>
      </c>
      <c r="C1405" s="604">
        <v>3</v>
      </c>
      <c r="D1405" s="604">
        <v>4</v>
      </c>
      <c r="E1405" s="605"/>
      <c r="F1405" s="606"/>
      <c r="G1405" s="600">
        <v>5</v>
      </c>
      <c r="H1405" s="599">
        <v>6</v>
      </c>
    </row>
    <row r="1406" spans="1:8" ht="12.75" customHeight="1">
      <c r="A1406" s="607">
        <v>1</v>
      </c>
      <c r="B1406" s="709" t="s">
        <v>624</v>
      </c>
      <c r="C1406" s="709"/>
      <c r="D1406" s="709"/>
      <c r="E1406" s="709"/>
      <c r="F1406" s="709"/>
      <c r="G1406" s="709"/>
      <c r="H1406" s="709"/>
    </row>
    <row r="1407" spans="1:8" ht="15.75">
      <c r="A1407" s="608" t="s">
        <v>74</v>
      </c>
      <c r="B1407" s="609" t="s">
        <v>625</v>
      </c>
      <c r="C1407" s="610" t="s">
        <v>379</v>
      </c>
      <c r="D1407" s="610" t="s">
        <v>379</v>
      </c>
      <c r="E1407" s="610" t="s">
        <v>379</v>
      </c>
      <c r="F1407" s="610" t="s">
        <v>379</v>
      </c>
      <c r="G1407" s="610" t="s">
        <v>379</v>
      </c>
      <c r="H1407" s="611" t="s">
        <v>626</v>
      </c>
    </row>
    <row r="1408" spans="1:8" ht="15.75">
      <c r="A1408" s="608" t="s">
        <v>313</v>
      </c>
      <c r="B1408" s="609" t="s">
        <v>627</v>
      </c>
      <c r="C1408" s="610" t="s">
        <v>379</v>
      </c>
      <c r="D1408" s="610" t="s">
        <v>379</v>
      </c>
      <c r="E1408" s="610" t="s">
        <v>379</v>
      </c>
      <c r="F1408" s="610" t="s">
        <v>379</v>
      </c>
      <c r="G1408" s="610" t="s">
        <v>379</v>
      </c>
      <c r="H1408" s="611" t="s">
        <v>626</v>
      </c>
    </row>
    <row r="1409" spans="1:8" ht="31.5">
      <c r="A1409" s="608" t="s">
        <v>315</v>
      </c>
      <c r="B1409" s="612" t="s">
        <v>628</v>
      </c>
      <c r="C1409" s="610" t="s">
        <v>379</v>
      </c>
      <c r="D1409" s="610" t="s">
        <v>379</v>
      </c>
      <c r="E1409" s="610" t="s">
        <v>379</v>
      </c>
      <c r="F1409" s="610" t="s">
        <v>379</v>
      </c>
      <c r="G1409" s="610" t="s">
        <v>379</v>
      </c>
      <c r="H1409" s="611" t="s">
        <v>626</v>
      </c>
    </row>
    <row r="1410" spans="1:8" ht="47.25">
      <c r="A1410" s="608" t="s">
        <v>317</v>
      </c>
      <c r="B1410" s="612" t="s">
        <v>629</v>
      </c>
      <c r="C1410" s="610" t="s">
        <v>379</v>
      </c>
      <c r="D1410" s="610" t="s">
        <v>379</v>
      </c>
      <c r="E1410" s="610" t="s">
        <v>379</v>
      </c>
      <c r="F1410" s="610" t="s">
        <v>379</v>
      </c>
      <c r="G1410" s="610" t="s">
        <v>379</v>
      </c>
      <c r="H1410" s="611" t="s">
        <v>626</v>
      </c>
    </row>
    <row r="1411" spans="1:8" ht="15.75">
      <c r="A1411" s="608" t="s">
        <v>630</v>
      </c>
      <c r="B1411" s="613" t="s">
        <v>631</v>
      </c>
      <c r="C1411" s="610" t="s">
        <v>379</v>
      </c>
      <c r="D1411" s="610" t="s">
        <v>379</v>
      </c>
      <c r="E1411" s="610" t="s">
        <v>379</v>
      </c>
      <c r="F1411" s="610" t="s">
        <v>379</v>
      </c>
      <c r="G1411" s="610" t="s">
        <v>379</v>
      </c>
      <c r="H1411" s="611" t="s">
        <v>626</v>
      </c>
    </row>
    <row r="1412" spans="1:8" ht="15.75">
      <c r="A1412" s="608" t="s">
        <v>632</v>
      </c>
      <c r="B1412" s="613" t="s">
        <v>633</v>
      </c>
      <c r="C1412" s="610" t="s">
        <v>379</v>
      </c>
      <c r="D1412" s="610" t="s">
        <v>379</v>
      </c>
      <c r="E1412" s="610" t="s">
        <v>379</v>
      </c>
      <c r="F1412" s="610" t="s">
        <v>379</v>
      </c>
      <c r="G1412" s="610" t="s">
        <v>379</v>
      </c>
      <c r="H1412" s="611" t="s">
        <v>626</v>
      </c>
    </row>
    <row r="1413" spans="1:8" ht="12.75" customHeight="1">
      <c r="A1413" s="608">
        <v>2</v>
      </c>
      <c r="B1413" s="706" t="s">
        <v>634</v>
      </c>
      <c r="C1413" s="706"/>
      <c r="D1413" s="706"/>
      <c r="E1413" s="706"/>
      <c r="F1413" s="706"/>
      <c r="G1413" s="706"/>
      <c r="H1413" s="706"/>
    </row>
    <row r="1414" spans="1:8" ht="31.5">
      <c r="A1414" s="608" t="s">
        <v>321</v>
      </c>
      <c r="B1414" s="612" t="s">
        <v>635</v>
      </c>
      <c r="C1414" s="610" t="s">
        <v>710</v>
      </c>
      <c r="D1414" s="610" t="s">
        <v>711</v>
      </c>
      <c r="E1414" s="610" t="s">
        <v>379</v>
      </c>
      <c r="F1414" s="610" t="s">
        <v>379</v>
      </c>
      <c r="G1414" s="614">
        <v>0</v>
      </c>
      <c r="H1414" s="611"/>
    </row>
    <row r="1415" spans="1:8" ht="47.25">
      <c r="A1415" s="608" t="s">
        <v>325</v>
      </c>
      <c r="B1415" s="612" t="s">
        <v>638</v>
      </c>
      <c r="C1415" s="610" t="s">
        <v>379</v>
      </c>
      <c r="D1415" s="610" t="s">
        <v>379</v>
      </c>
      <c r="E1415" s="610" t="s">
        <v>379</v>
      </c>
      <c r="F1415" s="610" t="s">
        <v>379</v>
      </c>
      <c r="G1415" s="610" t="s">
        <v>379</v>
      </c>
      <c r="H1415" s="611" t="s">
        <v>626</v>
      </c>
    </row>
    <row r="1416" spans="1:8" ht="31.5">
      <c r="A1416" s="608" t="s">
        <v>639</v>
      </c>
      <c r="B1416" s="612" t="s">
        <v>640</v>
      </c>
      <c r="C1416" s="610" t="s">
        <v>379</v>
      </c>
      <c r="D1416" s="610" t="s">
        <v>379</v>
      </c>
      <c r="E1416" s="610" t="s">
        <v>379</v>
      </c>
      <c r="F1416" s="610" t="s">
        <v>379</v>
      </c>
      <c r="G1416" s="610" t="s">
        <v>379</v>
      </c>
      <c r="H1416" s="611" t="s">
        <v>626</v>
      </c>
    </row>
    <row r="1417" spans="1:8" ht="12.75" customHeight="1">
      <c r="A1417" s="608">
        <v>3</v>
      </c>
      <c r="B1417" s="706" t="s">
        <v>641</v>
      </c>
      <c r="C1417" s="706"/>
      <c r="D1417" s="706"/>
      <c r="E1417" s="706"/>
      <c r="F1417" s="706"/>
      <c r="G1417" s="706"/>
      <c r="H1417" s="706"/>
    </row>
    <row r="1418" spans="1:8" ht="31.5">
      <c r="A1418" s="608" t="s">
        <v>378</v>
      </c>
      <c r="B1418" s="613" t="s">
        <v>642</v>
      </c>
      <c r="C1418" s="610" t="s">
        <v>379</v>
      </c>
      <c r="D1418" s="610" t="s">
        <v>379</v>
      </c>
      <c r="E1418" s="610" t="s">
        <v>379</v>
      </c>
      <c r="F1418" s="610" t="s">
        <v>379</v>
      </c>
      <c r="G1418" s="610" t="s">
        <v>379</v>
      </c>
      <c r="H1418" s="611" t="s">
        <v>626</v>
      </c>
    </row>
    <row r="1419" spans="1:8" ht="15.75">
      <c r="A1419" s="608" t="s">
        <v>643</v>
      </c>
      <c r="B1419" s="613" t="s">
        <v>644</v>
      </c>
      <c r="C1419" s="610" t="s">
        <v>710</v>
      </c>
      <c r="D1419" s="610" t="s">
        <v>712</v>
      </c>
      <c r="E1419" s="610" t="s">
        <v>379</v>
      </c>
      <c r="F1419" s="610" t="s">
        <v>379</v>
      </c>
      <c r="G1419" s="614">
        <v>0</v>
      </c>
      <c r="H1419" s="611"/>
    </row>
    <row r="1420" spans="1:8" ht="15.75">
      <c r="A1420" s="608" t="s">
        <v>380</v>
      </c>
      <c r="B1420" s="613" t="s">
        <v>646</v>
      </c>
      <c r="C1420" s="610" t="s">
        <v>713</v>
      </c>
      <c r="D1420" s="610" t="s">
        <v>714</v>
      </c>
      <c r="E1420" s="610" t="s">
        <v>379</v>
      </c>
      <c r="F1420" s="610" t="s">
        <v>379</v>
      </c>
      <c r="G1420" s="614">
        <v>0</v>
      </c>
      <c r="H1420" s="611"/>
    </row>
    <row r="1421" spans="1:8" ht="15.75">
      <c r="A1421" s="608" t="s">
        <v>649</v>
      </c>
      <c r="B1421" s="613" t="s">
        <v>650</v>
      </c>
      <c r="C1421" s="610" t="s">
        <v>715</v>
      </c>
      <c r="D1421" s="610" t="s">
        <v>716</v>
      </c>
      <c r="E1421" s="610" t="s">
        <v>379</v>
      </c>
      <c r="F1421" s="610" t="s">
        <v>379</v>
      </c>
      <c r="G1421" s="614">
        <v>0</v>
      </c>
      <c r="H1421" s="611"/>
    </row>
    <row r="1422" spans="1:8" ht="15.75">
      <c r="A1422" s="608" t="s">
        <v>653</v>
      </c>
      <c r="B1422" s="613" t="s">
        <v>654</v>
      </c>
      <c r="C1422" s="610" t="s">
        <v>717</v>
      </c>
      <c r="D1422" s="610" t="s">
        <v>711</v>
      </c>
      <c r="E1422" s="610" t="s">
        <v>379</v>
      </c>
      <c r="F1422" s="610" t="s">
        <v>379</v>
      </c>
      <c r="G1422" s="614">
        <v>0</v>
      </c>
      <c r="H1422" s="611"/>
    </row>
    <row r="1423" spans="1:8" ht="12.75" customHeight="1">
      <c r="A1423" s="608">
        <v>4</v>
      </c>
      <c r="B1423" s="706" t="s">
        <v>656</v>
      </c>
      <c r="C1423" s="706"/>
      <c r="D1423" s="706"/>
      <c r="E1423" s="706"/>
      <c r="F1423" s="706"/>
      <c r="G1423" s="706"/>
      <c r="H1423" s="706"/>
    </row>
    <row r="1424" spans="1:8" ht="31.5">
      <c r="A1424" s="608" t="s">
        <v>657</v>
      </c>
      <c r="B1424" s="612" t="s">
        <v>658</v>
      </c>
      <c r="C1424" s="610" t="s">
        <v>379</v>
      </c>
      <c r="D1424" s="610" t="s">
        <v>379</v>
      </c>
      <c r="E1424" s="610" t="s">
        <v>379</v>
      </c>
      <c r="F1424" s="610" t="s">
        <v>379</v>
      </c>
      <c r="G1424" s="610" t="s">
        <v>379</v>
      </c>
      <c r="H1424" s="611" t="s">
        <v>626</v>
      </c>
    </row>
    <row r="1425" spans="1:8" ht="47.25">
      <c r="A1425" s="608" t="s">
        <v>659</v>
      </c>
      <c r="B1425" s="612" t="s">
        <v>660</v>
      </c>
      <c r="C1425" s="610" t="s">
        <v>379</v>
      </c>
      <c r="D1425" s="610" t="s">
        <v>379</v>
      </c>
      <c r="E1425" s="610" t="s">
        <v>379</v>
      </c>
      <c r="F1425" s="610" t="s">
        <v>379</v>
      </c>
      <c r="G1425" s="610" t="s">
        <v>379</v>
      </c>
      <c r="H1425" s="611" t="s">
        <v>626</v>
      </c>
    </row>
    <row r="1426" spans="1:8" ht="31.5">
      <c r="A1426" s="608" t="s">
        <v>661</v>
      </c>
      <c r="B1426" s="613" t="s">
        <v>662</v>
      </c>
      <c r="C1426" s="610" t="s">
        <v>379</v>
      </c>
      <c r="D1426" s="610" t="s">
        <v>379</v>
      </c>
      <c r="E1426" s="610" t="s">
        <v>379</v>
      </c>
      <c r="F1426" s="610" t="s">
        <v>379</v>
      </c>
      <c r="G1426" s="610" t="s">
        <v>379</v>
      </c>
      <c r="H1426" s="611" t="s">
        <v>626</v>
      </c>
    </row>
    <row r="1427" spans="1:8" ht="31.5">
      <c r="A1427" s="615" t="s">
        <v>663</v>
      </c>
      <c r="B1427" s="616" t="s">
        <v>664</v>
      </c>
      <c r="C1427" s="617" t="s">
        <v>379</v>
      </c>
      <c r="D1427" s="617" t="s">
        <v>379</v>
      </c>
      <c r="E1427" s="617" t="s">
        <v>379</v>
      </c>
      <c r="F1427" s="617" t="s">
        <v>379</v>
      </c>
      <c r="G1427" s="617" t="s">
        <v>379</v>
      </c>
      <c r="H1427" s="618" t="s">
        <v>626</v>
      </c>
    </row>
    <row r="1428" spans="1:8" ht="15.75">
      <c r="A1428" s="619"/>
      <c r="B1428" s="620"/>
      <c r="C1428" s="621"/>
      <c r="D1428" s="621"/>
      <c r="E1428" s="621"/>
      <c r="F1428" s="621"/>
      <c r="G1428" s="621"/>
      <c r="H1428" s="148"/>
    </row>
    <row r="1429" spans="1:8" ht="12.75" customHeight="1">
      <c r="A1429" s="707" t="s">
        <v>665</v>
      </c>
      <c r="B1429" s="707"/>
      <c r="C1429" s="707"/>
      <c r="D1429" s="707"/>
      <c r="E1429" s="707"/>
      <c r="F1429" s="707"/>
      <c r="G1429" s="707"/>
      <c r="H1429" s="707"/>
    </row>
    <row r="1434" ht="15.75">
      <c r="H1434" s="11" t="s">
        <v>609</v>
      </c>
    </row>
    <row r="1435" ht="15.75">
      <c r="H1435" s="11" t="s">
        <v>610</v>
      </c>
    </row>
    <row r="1436" ht="15.75">
      <c r="H1436" s="11" t="s">
        <v>611</v>
      </c>
    </row>
    <row r="1437" ht="15.75">
      <c r="H1437" s="11"/>
    </row>
    <row r="1438" spans="1:8" ht="12.75" customHeight="1">
      <c r="A1438" s="713" t="s">
        <v>612</v>
      </c>
      <c r="B1438" s="713"/>
      <c r="C1438" s="713"/>
      <c r="D1438" s="713"/>
      <c r="E1438" s="713"/>
      <c r="F1438" s="713"/>
      <c r="G1438" s="713"/>
      <c r="H1438" s="713"/>
    </row>
    <row r="1439" spans="1:8" ht="12.75" customHeight="1">
      <c r="A1439" s="713" t="s">
        <v>613</v>
      </c>
      <c r="B1439" s="713"/>
      <c r="C1439" s="713"/>
      <c r="D1439" s="713"/>
      <c r="E1439" s="713"/>
      <c r="F1439" s="713"/>
      <c r="G1439" s="713"/>
      <c r="H1439" s="713"/>
    </row>
    <row r="1440" ht="15.75">
      <c r="H1440" s="11" t="s">
        <v>43</v>
      </c>
    </row>
    <row r="1441" ht="15.75">
      <c r="H1441" s="11" t="s">
        <v>44</v>
      </c>
    </row>
    <row r="1442" ht="15.75">
      <c r="H1442" s="11" t="s">
        <v>45</v>
      </c>
    </row>
    <row r="1443" ht="15.75">
      <c r="H1443" s="594" t="s">
        <v>614</v>
      </c>
    </row>
    <row r="1444" ht="15.75">
      <c r="H1444" s="11" t="s">
        <v>615</v>
      </c>
    </row>
    <row r="1445" ht="15.75">
      <c r="H1445" s="11" t="s">
        <v>47</v>
      </c>
    </row>
    <row r="1446" ht="15.75">
      <c r="A1446" s="595"/>
    </row>
    <row r="1447" ht="15.75">
      <c r="A1447" s="3" t="s">
        <v>739</v>
      </c>
    </row>
    <row r="1448" spans="1:8" ht="12.75" customHeight="1">
      <c r="A1448" s="717" t="s">
        <v>0</v>
      </c>
      <c r="B1448" s="714"/>
      <c r="C1448" s="714"/>
      <c r="D1448" s="714"/>
      <c r="E1448" s="714"/>
      <c r="F1448" s="714"/>
      <c r="G1448" s="714"/>
      <c r="H1448" s="714"/>
    </row>
    <row r="1449" spans="1:8" ht="16.5" thickBot="1">
      <c r="A1449" s="597"/>
      <c r="B1449" s="597"/>
      <c r="C1449" s="598"/>
      <c r="D1449" s="598"/>
      <c r="E1449" s="598"/>
      <c r="F1449" s="598"/>
      <c r="G1449" s="598"/>
      <c r="H1449" s="598"/>
    </row>
    <row r="1450" spans="1:8" ht="12.75" customHeight="1">
      <c r="A1450" s="708" t="s">
        <v>617</v>
      </c>
      <c r="B1450" s="710" t="s">
        <v>618</v>
      </c>
      <c r="C1450" s="711" t="s">
        <v>619</v>
      </c>
      <c r="D1450" s="711"/>
      <c r="E1450" s="711"/>
      <c r="F1450" s="711"/>
      <c r="G1450" s="712" t="s">
        <v>620</v>
      </c>
      <c r="H1450" s="708" t="s">
        <v>621</v>
      </c>
    </row>
    <row r="1451" spans="1:8" ht="15.75">
      <c r="A1451" s="708"/>
      <c r="B1451" s="710"/>
      <c r="C1451" s="711"/>
      <c r="D1451" s="711"/>
      <c r="E1451" s="711"/>
      <c r="F1451" s="711"/>
      <c r="G1451" s="712"/>
      <c r="H1451" s="708"/>
    </row>
    <row r="1452" spans="1:8" ht="31.5">
      <c r="A1452" s="708"/>
      <c r="B1452" s="710"/>
      <c r="C1452" s="601" t="s">
        <v>622</v>
      </c>
      <c r="D1452" s="601" t="s">
        <v>623</v>
      </c>
      <c r="E1452" s="602" t="s">
        <v>622</v>
      </c>
      <c r="F1452" s="603" t="s">
        <v>623</v>
      </c>
      <c r="G1452" s="712"/>
      <c r="H1452" s="708"/>
    </row>
    <row r="1453" spans="1:8" ht="15.75">
      <c r="A1453" s="599">
        <v>1</v>
      </c>
      <c r="B1453" s="599">
        <v>2</v>
      </c>
      <c r="C1453" s="604">
        <v>3</v>
      </c>
      <c r="D1453" s="604">
        <v>4</v>
      </c>
      <c r="E1453" s="605"/>
      <c r="F1453" s="606"/>
      <c r="G1453" s="600">
        <v>5</v>
      </c>
      <c r="H1453" s="599">
        <v>6</v>
      </c>
    </row>
    <row r="1454" spans="1:8" ht="12.75" customHeight="1">
      <c r="A1454" s="607">
        <v>1</v>
      </c>
      <c r="B1454" s="709" t="s">
        <v>624</v>
      </c>
      <c r="C1454" s="709"/>
      <c r="D1454" s="709"/>
      <c r="E1454" s="709"/>
      <c r="F1454" s="709"/>
      <c r="G1454" s="709"/>
      <c r="H1454" s="709"/>
    </row>
    <row r="1455" spans="1:8" ht="15.75">
      <c r="A1455" s="608" t="s">
        <v>74</v>
      </c>
      <c r="B1455" s="609" t="s">
        <v>625</v>
      </c>
      <c r="C1455" s="610" t="s">
        <v>379</v>
      </c>
      <c r="D1455" s="610" t="s">
        <v>379</v>
      </c>
      <c r="E1455" s="610" t="s">
        <v>379</v>
      </c>
      <c r="F1455" s="610" t="s">
        <v>379</v>
      </c>
      <c r="G1455" s="610" t="s">
        <v>379</v>
      </c>
      <c r="H1455" s="611" t="s">
        <v>626</v>
      </c>
    </row>
    <row r="1456" spans="1:8" ht="15.75">
      <c r="A1456" s="608" t="s">
        <v>313</v>
      </c>
      <c r="B1456" s="609" t="s">
        <v>627</v>
      </c>
      <c r="C1456" s="610" t="s">
        <v>379</v>
      </c>
      <c r="D1456" s="610" t="s">
        <v>379</v>
      </c>
      <c r="E1456" s="610" t="s">
        <v>379</v>
      </c>
      <c r="F1456" s="610" t="s">
        <v>379</v>
      </c>
      <c r="G1456" s="610" t="s">
        <v>379</v>
      </c>
      <c r="H1456" s="611" t="s">
        <v>626</v>
      </c>
    </row>
    <row r="1457" spans="1:8" ht="31.5">
      <c r="A1457" s="608" t="s">
        <v>315</v>
      </c>
      <c r="B1457" s="612" t="s">
        <v>628</v>
      </c>
      <c r="C1457" s="610" t="s">
        <v>379</v>
      </c>
      <c r="D1457" s="610" t="s">
        <v>379</v>
      </c>
      <c r="E1457" s="610" t="s">
        <v>379</v>
      </c>
      <c r="F1457" s="610" t="s">
        <v>379</v>
      </c>
      <c r="G1457" s="610" t="s">
        <v>379</v>
      </c>
      <c r="H1457" s="611" t="s">
        <v>626</v>
      </c>
    </row>
    <row r="1458" spans="1:8" ht="47.25">
      <c r="A1458" s="608" t="s">
        <v>317</v>
      </c>
      <c r="B1458" s="612" t="s">
        <v>629</v>
      </c>
      <c r="C1458" s="610" t="s">
        <v>379</v>
      </c>
      <c r="D1458" s="610" t="s">
        <v>379</v>
      </c>
      <c r="E1458" s="610" t="s">
        <v>379</v>
      </c>
      <c r="F1458" s="610" t="s">
        <v>379</v>
      </c>
      <c r="G1458" s="610" t="s">
        <v>379</v>
      </c>
      <c r="H1458" s="611" t="s">
        <v>626</v>
      </c>
    </row>
    <row r="1459" spans="1:8" ht="15.75">
      <c r="A1459" s="608" t="s">
        <v>630</v>
      </c>
      <c r="B1459" s="613" t="s">
        <v>631</v>
      </c>
      <c r="C1459" s="610" t="s">
        <v>379</v>
      </c>
      <c r="D1459" s="610" t="s">
        <v>379</v>
      </c>
      <c r="E1459" s="610" t="s">
        <v>379</v>
      </c>
      <c r="F1459" s="610" t="s">
        <v>379</v>
      </c>
      <c r="G1459" s="610" t="s">
        <v>379</v>
      </c>
      <c r="H1459" s="611" t="s">
        <v>626</v>
      </c>
    </row>
    <row r="1460" spans="1:8" ht="15.75">
      <c r="A1460" s="608" t="s">
        <v>632</v>
      </c>
      <c r="B1460" s="613" t="s">
        <v>633</v>
      </c>
      <c r="C1460" s="610" t="s">
        <v>379</v>
      </c>
      <c r="D1460" s="610" t="s">
        <v>379</v>
      </c>
      <c r="E1460" s="610" t="s">
        <v>379</v>
      </c>
      <c r="F1460" s="610" t="s">
        <v>379</v>
      </c>
      <c r="G1460" s="610" t="s">
        <v>379</v>
      </c>
      <c r="H1460" s="611" t="s">
        <v>626</v>
      </c>
    </row>
    <row r="1461" spans="1:8" ht="12.75" customHeight="1">
      <c r="A1461" s="608">
        <v>2</v>
      </c>
      <c r="B1461" s="706" t="s">
        <v>634</v>
      </c>
      <c r="C1461" s="706"/>
      <c r="D1461" s="706"/>
      <c r="E1461" s="706"/>
      <c r="F1461" s="706"/>
      <c r="G1461" s="706"/>
      <c r="H1461" s="706"/>
    </row>
    <row r="1462" spans="1:8" ht="31.5">
      <c r="A1462" s="608" t="s">
        <v>321</v>
      </c>
      <c r="B1462" s="612" t="s">
        <v>635</v>
      </c>
      <c r="C1462" s="610" t="s">
        <v>710</v>
      </c>
      <c r="D1462" s="610" t="s">
        <v>645</v>
      </c>
      <c r="E1462" s="610" t="s">
        <v>379</v>
      </c>
      <c r="F1462" s="610" t="s">
        <v>379</v>
      </c>
      <c r="G1462" s="614">
        <v>0</v>
      </c>
      <c r="H1462" s="611"/>
    </row>
    <row r="1463" spans="1:8" ht="47.25">
      <c r="A1463" s="608" t="s">
        <v>325</v>
      </c>
      <c r="B1463" s="612" t="s">
        <v>638</v>
      </c>
      <c r="C1463" s="610" t="s">
        <v>379</v>
      </c>
      <c r="D1463" s="610" t="s">
        <v>379</v>
      </c>
      <c r="E1463" s="610" t="s">
        <v>379</v>
      </c>
      <c r="F1463" s="610" t="s">
        <v>379</v>
      </c>
      <c r="G1463" s="610" t="s">
        <v>379</v>
      </c>
      <c r="H1463" s="611" t="s">
        <v>626</v>
      </c>
    </row>
    <row r="1464" spans="1:8" ht="31.5">
      <c r="A1464" s="608" t="s">
        <v>639</v>
      </c>
      <c r="B1464" s="612" t="s">
        <v>640</v>
      </c>
      <c r="C1464" s="610" t="s">
        <v>379</v>
      </c>
      <c r="D1464" s="610" t="s">
        <v>379</v>
      </c>
      <c r="E1464" s="610" t="s">
        <v>379</v>
      </c>
      <c r="F1464" s="610" t="s">
        <v>379</v>
      </c>
      <c r="G1464" s="610" t="s">
        <v>379</v>
      </c>
      <c r="H1464" s="611" t="s">
        <v>626</v>
      </c>
    </row>
    <row r="1465" spans="1:8" ht="12.75" customHeight="1">
      <c r="A1465" s="608">
        <v>3</v>
      </c>
      <c r="B1465" s="706" t="s">
        <v>641</v>
      </c>
      <c r="C1465" s="706"/>
      <c r="D1465" s="706"/>
      <c r="E1465" s="706"/>
      <c r="F1465" s="706"/>
      <c r="G1465" s="706"/>
      <c r="H1465" s="706"/>
    </row>
    <row r="1466" spans="1:8" ht="31.5">
      <c r="A1466" s="608" t="s">
        <v>378</v>
      </c>
      <c r="B1466" s="613" t="s">
        <v>642</v>
      </c>
      <c r="C1466" s="610" t="s">
        <v>379</v>
      </c>
      <c r="D1466" s="610" t="s">
        <v>379</v>
      </c>
      <c r="E1466" s="610" t="s">
        <v>379</v>
      </c>
      <c r="F1466" s="610" t="s">
        <v>379</v>
      </c>
      <c r="G1466" s="610" t="s">
        <v>379</v>
      </c>
      <c r="H1466" s="611" t="s">
        <v>626</v>
      </c>
    </row>
    <row r="1467" spans="1:8" ht="15.75">
      <c r="A1467" s="608" t="s">
        <v>643</v>
      </c>
      <c r="B1467" s="613" t="s">
        <v>644</v>
      </c>
      <c r="C1467" s="610" t="s">
        <v>710</v>
      </c>
      <c r="D1467" s="610" t="s">
        <v>725</v>
      </c>
      <c r="E1467" s="610" t="s">
        <v>379</v>
      </c>
      <c r="F1467" s="610" t="s">
        <v>379</v>
      </c>
      <c r="G1467" s="614">
        <v>0</v>
      </c>
      <c r="H1467" s="611"/>
    </row>
    <row r="1468" spans="1:8" ht="15.75">
      <c r="A1468" s="608" t="s">
        <v>380</v>
      </c>
      <c r="B1468" s="613" t="s">
        <v>646</v>
      </c>
      <c r="C1468" s="610" t="s">
        <v>713</v>
      </c>
      <c r="D1468" s="610" t="s">
        <v>740</v>
      </c>
      <c r="E1468" s="610" t="s">
        <v>379</v>
      </c>
      <c r="F1468" s="610" t="s">
        <v>379</v>
      </c>
      <c r="G1468" s="614">
        <v>0</v>
      </c>
      <c r="H1468" s="611"/>
    </row>
    <row r="1469" spans="1:8" ht="15.75">
      <c r="A1469" s="608" t="s">
        <v>649</v>
      </c>
      <c r="B1469" s="613" t="s">
        <v>650</v>
      </c>
      <c r="C1469" s="610" t="s">
        <v>715</v>
      </c>
      <c r="D1469" s="610" t="s">
        <v>741</v>
      </c>
      <c r="E1469" s="610" t="s">
        <v>379</v>
      </c>
      <c r="F1469" s="610" t="s">
        <v>379</v>
      </c>
      <c r="G1469" s="614">
        <v>0</v>
      </c>
      <c r="H1469" s="611"/>
    </row>
    <row r="1470" spans="1:8" ht="15.75">
      <c r="A1470" s="608" t="s">
        <v>653</v>
      </c>
      <c r="B1470" s="613" t="s">
        <v>654</v>
      </c>
      <c r="C1470" s="610" t="s">
        <v>742</v>
      </c>
      <c r="D1470" s="610" t="s">
        <v>645</v>
      </c>
      <c r="E1470" s="610" t="s">
        <v>379</v>
      </c>
      <c r="F1470" s="610" t="s">
        <v>379</v>
      </c>
      <c r="G1470" s="614">
        <v>0</v>
      </c>
      <c r="H1470" s="611"/>
    </row>
    <row r="1471" spans="1:8" ht="12.75" customHeight="1">
      <c r="A1471" s="608">
        <v>4</v>
      </c>
      <c r="B1471" s="706" t="s">
        <v>656</v>
      </c>
      <c r="C1471" s="706"/>
      <c r="D1471" s="706"/>
      <c r="E1471" s="706"/>
      <c r="F1471" s="706"/>
      <c r="G1471" s="706"/>
      <c r="H1471" s="706"/>
    </row>
    <row r="1472" spans="1:8" ht="31.5">
      <c r="A1472" s="608" t="s">
        <v>657</v>
      </c>
      <c r="B1472" s="612" t="s">
        <v>658</v>
      </c>
      <c r="C1472" s="610" t="s">
        <v>379</v>
      </c>
      <c r="D1472" s="610" t="s">
        <v>379</v>
      </c>
      <c r="E1472" s="610" t="s">
        <v>379</v>
      </c>
      <c r="F1472" s="610" t="s">
        <v>379</v>
      </c>
      <c r="G1472" s="610" t="s">
        <v>379</v>
      </c>
      <c r="H1472" s="611" t="s">
        <v>626</v>
      </c>
    </row>
    <row r="1473" spans="1:8" ht="47.25">
      <c r="A1473" s="608" t="s">
        <v>659</v>
      </c>
      <c r="B1473" s="612" t="s">
        <v>660</v>
      </c>
      <c r="C1473" s="610" t="s">
        <v>379</v>
      </c>
      <c r="D1473" s="610" t="s">
        <v>379</v>
      </c>
      <c r="E1473" s="610" t="s">
        <v>379</v>
      </c>
      <c r="F1473" s="610" t="s">
        <v>379</v>
      </c>
      <c r="G1473" s="610" t="s">
        <v>379</v>
      </c>
      <c r="H1473" s="611" t="s">
        <v>626</v>
      </c>
    </row>
    <row r="1474" spans="1:8" ht="31.5">
      <c r="A1474" s="608" t="s">
        <v>661</v>
      </c>
      <c r="B1474" s="613" t="s">
        <v>662</v>
      </c>
      <c r="C1474" s="610" t="s">
        <v>379</v>
      </c>
      <c r="D1474" s="610" t="s">
        <v>379</v>
      </c>
      <c r="E1474" s="610" t="s">
        <v>379</v>
      </c>
      <c r="F1474" s="610" t="s">
        <v>379</v>
      </c>
      <c r="G1474" s="610" t="s">
        <v>379</v>
      </c>
      <c r="H1474" s="611" t="s">
        <v>626</v>
      </c>
    </row>
    <row r="1475" spans="1:8" ht="31.5">
      <c r="A1475" s="615" t="s">
        <v>663</v>
      </c>
      <c r="B1475" s="616" t="s">
        <v>664</v>
      </c>
      <c r="C1475" s="617" t="s">
        <v>379</v>
      </c>
      <c r="D1475" s="617" t="s">
        <v>379</v>
      </c>
      <c r="E1475" s="617" t="s">
        <v>379</v>
      </c>
      <c r="F1475" s="617" t="s">
        <v>379</v>
      </c>
      <c r="G1475" s="617" t="s">
        <v>379</v>
      </c>
      <c r="H1475" s="618" t="s">
        <v>626</v>
      </c>
    </row>
    <row r="1476" spans="1:8" ht="15.75">
      <c r="A1476" s="619"/>
      <c r="B1476" s="620"/>
      <c r="C1476" s="621"/>
      <c r="D1476" s="621"/>
      <c r="E1476" s="621"/>
      <c r="F1476" s="621"/>
      <c r="G1476" s="621"/>
      <c r="H1476" s="148"/>
    </row>
    <row r="1477" spans="1:8" ht="12.75" customHeight="1">
      <c r="A1477" s="707" t="s">
        <v>665</v>
      </c>
      <c r="B1477" s="707"/>
      <c r="C1477" s="707"/>
      <c r="D1477" s="707"/>
      <c r="E1477" s="707"/>
      <c r="F1477" s="707"/>
      <c r="G1477" s="707"/>
      <c r="H1477" s="707"/>
    </row>
    <row r="1482" ht="15.75">
      <c r="H1482" s="11" t="s">
        <v>609</v>
      </c>
    </row>
    <row r="1483" ht="15.75">
      <c r="H1483" s="11" t="s">
        <v>610</v>
      </c>
    </row>
    <row r="1484" ht="15.75">
      <c r="H1484" s="11" t="s">
        <v>611</v>
      </c>
    </row>
    <row r="1485" ht="15.75">
      <c r="H1485" s="11"/>
    </row>
    <row r="1486" spans="1:8" ht="12.75" customHeight="1">
      <c r="A1486" s="713" t="s">
        <v>612</v>
      </c>
      <c r="B1486" s="713"/>
      <c r="C1486" s="713"/>
      <c r="D1486" s="713"/>
      <c r="E1486" s="713"/>
      <c r="F1486" s="713"/>
      <c r="G1486" s="713"/>
      <c r="H1486" s="713"/>
    </row>
    <row r="1487" spans="1:8" ht="12.75" customHeight="1">
      <c r="A1487" s="713" t="s">
        <v>613</v>
      </c>
      <c r="B1487" s="713"/>
      <c r="C1487" s="713"/>
      <c r="D1487" s="713"/>
      <c r="E1487" s="713"/>
      <c r="F1487" s="713"/>
      <c r="G1487" s="713"/>
      <c r="H1487" s="713"/>
    </row>
    <row r="1488" ht="15.75">
      <c r="H1488" s="11" t="s">
        <v>43</v>
      </c>
    </row>
    <row r="1489" ht="15.75">
      <c r="H1489" s="11" t="s">
        <v>44</v>
      </c>
    </row>
    <row r="1490" ht="15.75">
      <c r="H1490" s="11" t="s">
        <v>45</v>
      </c>
    </row>
    <row r="1491" ht="15.75">
      <c r="H1491" s="594" t="s">
        <v>614</v>
      </c>
    </row>
    <row r="1492" ht="15.75">
      <c r="H1492" s="11" t="s">
        <v>615</v>
      </c>
    </row>
    <row r="1493" ht="15.75">
      <c r="H1493" s="11" t="s">
        <v>47</v>
      </c>
    </row>
    <row r="1494" ht="15.75">
      <c r="A1494" s="595"/>
    </row>
    <row r="1495" ht="15.75">
      <c r="A1495" s="3" t="s">
        <v>743</v>
      </c>
    </row>
    <row r="1496" spans="1:8" ht="12.75" customHeight="1">
      <c r="A1496" s="717" t="s">
        <v>0</v>
      </c>
      <c r="B1496" s="714"/>
      <c r="C1496" s="714"/>
      <c r="D1496" s="714"/>
      <c r="E1496" s="714"/>
      <c r="F1496" s="714"/>
      <c r="G1496" s="714"/>
      <c r="H1496" s="714"/>
    </row>
    <row r="1497" spans="1:8" ht="16.5" thickBot="1">
      <c r="A1497" s="597"/>
      <c r="B1497" s="597"/>
      <c r="C1497" s="598"/>
      <c r="D1497" s="598"/>
      <c r="E1497" s="598"/>
      <c r="F1497" s="598"/>
      <c r="G1497" s="598"/>
      <c r="H1497" s="598"/>
    </row>
    <row r="1498" spans="1:8" ht="12.75" customHeight="1">
      <c r="A1498" s="708" t="s">
        <v>617</v>
      </c>
      <c r="B1498" s="710" t="s">
        <v>618</v>
      </c>
      <c r="C1498" s="711" t="s">
        <v>619</v>
      </c>
      <c r="D1498" s="711"/>
      <c r="E1498" s="711"/>
      <c r="F1498" s="711"/>
      <c r="G1498" s="712" t="s">
        <v>620</v>
      </c>
      <c r="H1498" s="708" t="s">
        <v>621</v>
      </c>
    </row>
    <row r="1499" spans="1:8" ht="15.75">
      <c r="A1499" s="708"/>
      <c r="B1499" s="710"/>
      <c r="C1499" s="711"/>
      <c r="D1499" s="711"/>
      <c r="E1499" s="711"/>
      <c r="F1499" s="711"/>
      <c r="G1499" s="712"/>
      <c r="H1499" s="708"/>
    </row>
    <row r="1500" spans="1:8" ht="31.5">
      <c r="A1500" s="708"/>
      <c r="B1500" s="710"/>
      <c r="C1500" s="601" t="s">
        <v>622</v>
      </c>
      <c r="D1500" s="601" t="s">
        <v>623</v>
      </c>
      <c r="E1500" s="602" t="s">
        <v>622</v>
      </c>
      <c r="F1500" s="603" t="s">
        <v>623</v>
      </c>
      <c r="G1500" s="712"/>
      <c r="H1500" s="708"/>
    </row>
    <row r="1501" spans="1:8" ht="15.75">
      <c r="A1501" s="599">
        <v>1</v>
      </c>
      <c r="B1501" s="599">
        <v>2</v>
      </c>
      <c r="C1501" s="604">
        <v>3</v>
      </c>
      <c r="D1501" s="604">
        <v>4</v>
      </c>
      <c r="E1501" s="605"/>
      <c r="F1501" s="606"/>
      <c r="G1501" s="600">
        <v>5</v>
      </c>
      <c r="H1501" s="599">
        <v>6</v>
      </c>
    </row>
    <row r="1502" spans="1:8" ht="12.75" customHeight="1">
      <c r="A1502" s="607">
        <v>1</v>
      </c>
      <c r="B1502" s="709" t="s">
        <v>624</v>
      </c>
      <c r="C1502" s="709"/>
      <c r="D1502" s="709"/>
      <c r="E1502" s="709"/>
      <c r="F1502" s="709"/>
      <c r="G1502" s="709"/>
      <c r="H1502" s="709"/>
    </row>
    <row r="1503" spans="1:8" ht="15.75">
      <c r="A1503" s="608" t="s">
        <v>74</v>
      </c>
      <c r="B1503" s="609" t="s">
        <v>625</v>
      </c>
      <c r="C1503" s="610" t="s">
        <v>379</v>
      </c>
      <c r="D1503" s="610" t="s">
        <v>379</v>
      </c>
      <c r="E1503" s="610" t="s">
        <v>379</v>
      </c>
      <c r="F1503" s="610" t="s">
        <v>379</v>
      </c>
      <c r="G1503" s="610" t="s">
        <v>379</v>
      </c>
      <c r="H1503" s="611" t="s">
        <v>626</v>
      </c>
    </row>
    <row r="1504" spans="1:8" ht="15.75">
      <c r="A1504" s="608" t="s">
        <v>313</v>
      </c>
      <c r="B1504" s="609" t="s">
        <v>627</v>
      </c>
      <c r="C1504" s="610" t="s">
        <v>379</v>
      </c>
      <c r="D1504" s="610" t="s">
        <v>379</v>
      </c>
      <c r="E1504" s="610" t="s">
        <v>379</v>
      </c>
      <c r="F1504" s="610" t="s">
        <v>379</v>
      </c>
      <c r="G1504" s="610" t="s">
        <v>379</v>
      </c>
      <c r="H1504" s="611" t="s">
        <v>626</v>
      </c>
    </row>
    <row r="1505" spans="1:8" ht="31.5">
      <c r="A1505" s="608" t="s">
        <v>315</v>
      </c>
      <c r="B1505" s="612" t="s">
        <v>628</v>
      </c>
      <c r="C1505" s="610" t="s">
        <v>379</v>
      </c>
      <c r="D1505" s="610" t="s">
        <v>379</v>
      </c>
      <c r="E1505" s="610" t="s">
        <v>379</v>
      </c>
      <c r="F1505" s="610" t="s">
        <v>379</v>
      </c>
      <c r="G1505" s="610" t="s">
        <v>379</v>
      </c>
      <c r="H1505" s="611" t="s">
        <v>626</v>
      </c>
    </row>
    <row r="1506" spans="1:8" ht="47.25">
      <c r="A1506" s="608" t="s">
        <v>317</v>
      </c>
      <c r="B1506" s="612" t="s">
        <v>629</v>
      </c>
      <c r="C1506" s="610" t="s">
        <v>379</v>
      </c>
      <c r="D1506" s="610" t="s">
        <v>379</v>
      </c>
      <c r="E1506" s="610" t="s">
        <v>379</v>
      </c>
      <c r="F1506" s="610" t="s">
        <v>379</v>
      </c>
      <c r="G1506" s="610" t="s">
        <v>379</v>
      </c>
      <c r="H1506" s="611" t="s">
        <v>626</v>
      </c>
    </row>
    <row r="1507" spans="1:8" ht="15.75">
      <c r="A1507" s="608" t="s">
        <v>630</v>
      </c>
      <c r="B1507" s="613" t="s">
        <v>631</v>
      </c>
      <c r="C1507" s="610" t="s">
        <v>379</v>
      </c>
      <c r="D1507" s="610" t="s">
        <v>379</v>
      </c>
      <c r="E1507" s="610" t="s">
        <v>379</v>
      </c>
      <c r="F1507" s="610" t="s">
        <v>379</v>
      </c>
      <c r="G1507" s="610" t="s">
        <v>379</v>
      </c>
      <c r="H1507" s="611" t="s">
        <v>626</v>
      </c>
    </row>
    <row r="1508" spans="1:8" ht="15.75">
      <c r="A1508" s="608" t="s">
        <v>632</v>
      </c>
      <c r="B1508" s="613" t="s">
        <v>633</v>
      </c>
      <c r="C1508" s="610" t="s">
        <v>379</v>
      </c>
      <c r="D1508" s="610" t="s">
        <v>379</v>
      </c>
      <c r="E1508" s="610" t="s">
        <v>379</v>
      </c>
      <c r="F1508" s="610" t="s">
        <v>379</v>
      </c>
      <c r="G1508" s="610" t="s">
        <v>379</v>
      </c>
      <c r="H1508" s="611" t="s">
        <v>626</v>
      </c>
    </row>
    <row r="1509" spans="1:8" ht="12.75" customHeight="1">
      <c r="A1509" s="608">
        <v>2</v>
      </c>
      <c r="B1509" s="706" t="s">
        <v>634</v>
      </c>
      <c r="C1509" s="706"/>
      <c r="D1509" s="706"/>
      <c r="E1509" s="706"/>
      <c r="F1509" s="706"/>
      <c r="G1509" s="706"/>
      <c r="H1509" s="706"/>
    </row>
    <row r="1510" spans="1:8" ht="31.5">
      <c r="A1510" s="608" t="s">
        <v>321</v>
      </c>
      <c r="B1510" s="612" t="s">
        <v>635</v>
      </c>
      <c r="C1510" s="610" t="s">
        <v>636</v>
      </c>
      <c r="D1510" s="610" t="s">
        <v>744</v>
      </c>
      <c r="E1510" s="610" t="s">
        <v>379</v>
      </c>
      <c r="F1510" s="610" t="s">
        <v>379</v>
      </c>
      <c r="G1510" s="614">
        <v>0</v>
      </c>
      <c r="H1510" s="611"/>
    </row>
    <row r="1511" spans="1:8" ht="47.25">
      <c r="A1511" s="608" t="s">
        <v>325</v>
      </c>
      <c r="B1511" s="612" t="s">
        <v>638</v>
      </c>
      <c r="C1511" s="610" t="s">
        <v>379</v>
      </c>
      <c r="D1511" s="610" t="s">
        <v>379</v>
      </c>
      <c r="E1511" s="610" t="s">
        <v>379</v>
      </c>
      <c r="F1511" s="610" t="s">
        <v>379</v>
      </c>
      <c r="G1511" s="610" t="s">
        <v>379</v>
      </c>
      <c r="H1511" s="611" t="s">
        <v>626</v>
      </c>
    </row>
    <row r="1512" spans="1:8" ht="31.5">
      <c r="A1512" s="608" t="s">
        <v>639</v>
      </c>
      <c r="B1512" s="612" t="s">
        <v>640</v>
      </c>
      <c r="C1512" s="610" t="s">
        <v>379</v>
      </c>
      <c r="D1512" s="610" t="s">
        <v>379</v>
      </c>
      <c r="E1512" s="610" t="s">
        <v>379</v>
      </c>
      <c r="F1512" s="610" t="s">
        <v>379</v>
      </c>
      <c r="G1512" s="610" t="s">
        <v>379</v>
      </c>
      <c r="H1512" s="611" t="s">
        <v>626</v>
      </c>
    </row>
    <row r="1513" spans="1:8" ht="12.75" customHeight="1">
      <c r="A1513" s="608">
        <v>3</v>
      </c>
      <c r="B1513" s="706" t="s">
        <v>641</v>
      </c>
      <c r="C1513" s="706"/>
      <c r="D1513" s="706"/>
      <c r="E1513" s="706"/>
      <c r="F1513" s="706"/>
      <c r="G1513" s="706"/>
      <c r="H1513" s="706"/>
    </row>
    <row r="1514" spans="1:8" ht="31.5">
      <c r="A1514" s="608" t="s">
        <v>378</v>
      </c>
      <c r="B1514" s="613" t="s">
        <v>642</v>
      </c>
      <c r="C1514" s="610" t="s">
        <v>379</v>
      </c>
      <c r="D1514" s="610" t="s">
        <v>379</v>
      </c>
      <c r="E1514" s="610" t="s">
        <v>379</v>
      </c>
      <c r="F1514" s="610" t="s">
        <v>379</v>
      </c>
      <c r="G1514" s="610" t="s">
        <v>379</v>
      </c>
      <c r="H1514" s="611" t="s">
        <v>626</v>
      </c>
    </row>
    <row r="1515" spans="1:8" ht="15.75">
      <c r="A1515" s="608" t="s">
        <v>643</v>
      </c>
      <c r="B1515" s="613" t="s">
        <v>644</v>
      </c>
      <c r="C1515" s="610" t="s">
        <v>636</v>
      </c>
      <c r="D1515" s="610" t="s">
        <v>745</v>
      </c>
      <c r="E1515" s="610" t="s">
        <v>379</v>
      </c>
      <c r="F1515" s="610" t="s">
        <v>379</v>
      </c>
      <c r="G1515" s="614">
        <v>0</v>
      </c>
      <c r="H1515" s="611"/>
    </row>
    <row r="1516" spans="1:8" ht="15.75">
      <c r="A1516" s="608" t="s">
        <v>380</v>
      </c>
      <c r="B1516" s="613" t="s">
        <v>646</v>
      </c>
      <c r="C1516" s="610" t="s">
        <v>647</v>
      </c>
      <c r="D1516" s="610" t="s">
        <v>746</v>
      </c>
      <c r="E1516" s="610" t="s">
        <v>379</v>
      </c>
      <c r="F1516" s="610" t="s">
        <v>379</v>
      </c>
      <c r="G1516" s="614">
        <v>0</v>
      </c>
      <c r="H1516" s="611"/>
    </row>
    <row r="1517" spans="1:8" ht="15.75">
      <c r="A1517" s="608" t="s">
        <v>649</v>
      </c>
      <c r="B1517" s="613" t="s">
        <v>650</v>
      </c>
      <c r="C1517" s="610" t="s">
        <v>651</v>
      </c>
      <c r="D1517" s="610" t="s">
        <v>747</v>
      </c>
      <c r="E1517" s="610" t="s">
        <v>379</v>
      </c>
      <c r="F1517" s="610" t="s">
        <v>379</v>
      </c>
      <c r="G1517" s="614">
        <v>0</v>
      </c>
      <c r="H1517" s="611"/>
    </row>
    <row r="1518" spans="1:8" ht="15.75">
      <c r="A1518" s="608" t="s">
        <v>653</v>
      </c>
      <c r="B1518" s="613" t="s">
        <v>654</v>
      </c>
      <c r="C1518" s="610" t="s">
        <v>747</v>
      </c>
      <c r="D1518" s="610" t="s">
        <v>744</v>
      </c>
      <c r="E1518" s="610" t="s">
        <v>379</v>
      </c>
      <c r="F1518" s="610" t="s">
        <v>379</v>
      </c>
      <c r="G1518" s="614">
        <v>0</v>
      </c>
      <c r="H1518" s="611"/>
    </row>
    <row r="1519" spans="1:8" ht="12.75" customHeight="1">
      <c r="A1519" s="608">
        <v>4</v>
      </c>
      <c r="B1519" s="706" t="s">
        <v>656</v>
      </c>
      <c r="C1519" s="706"/>
      <c r="D1519" s="706"/>
      <c r="E1519" s="706"/>
      <c r="F1519" s="706"/>
      <c r="G1519" s="706"/>
      <c r="H1519" s="706"/>
    </row>
    <row r="1520" spans="1:8" ht="31.5">
      <c r="A1520" s="608" t="s">
        <v>657</v>
      </c>
      <c r="B1520" s="612" t="s">
        <v>658</v>
      </c>
      <c r="C1520" s="610" t="s">
        <v>379</v>
      </c>
      <c r="D1520" s="610" t="s">
        <v>379</v>
      </c>
      <c r="E1520" s="610" t="s">
        <v>379</v>
      </c>
      <c r="F1520" s="610" t="s">
        <v>379</v>
      </c>
      <c r="G1520" s="610" t="s">
        <v>379</v>
      </c>
      <c r="H1520" s="611" t="s">
        <v>626</v>
      </c>
    </row>
    <row r="1521" spans="1:8" ht="47.25">
      <c r="A1521" s="608" t="s">
        <v>659</v>
      </c>
      <c r="B1521" s="612" t="s">
        <v>660</v>
      </c>
      <c r="C1521" s="610" t="s">
        <v>379</v>
      </c>
      <c r="D1521" s="610" t="s">
        <v>379</v>
      </c>
      <c r="E1521" s="610" t="s">
        <v>379</v>
      </c>
      <c r="F1521" s="610" t="s">
        <v>379</v>
      </c>
      <c r="G1521" s="610" t="s">
        <v>379</v>
      </c>
      <c r="H1521" s="611" t="s">
        <v>626</v>
      </c>
    </row>
    <row r="1522" spans="1:8" ht="31.5">
      <c r="A1522" s="608" t="s">
        <v>661</v>
      </c>
      <c r="B1522" s="613" t="s">
        <v>662</v>
      </c>
      <c r="C1522" s="610" t="s">
        <v>379</v>
      </c>
      <c r="D1522" s="610" t="s">
        <v>379</v>
      </c>
      <c r="E1522" s="610" t="s">
        <v>379</v>
      </c>
      <c r="F1522" s="610" t="s">
        <v>379</v>
      </c>
      <c r="G1522" s="610" t="s">
        <v>379</v>
      </c>
      <c r="H1522" s="611" t="s">
        <v>626</v>
      </c>
    </row>
    <row r="1523" spans="1:8" ht="31.5">
      <c r="A1523" s="615" t="s">
        <v>663</v>
      </c>
      <c r="B1523" s="616" t="s">
        <v>664</v>
      </c>
      <c r="C1523" s="617" t="s">
        <v>379</v>
      </c>
      <c r="D1523" s="617" t="s">
        <v>379</v>
      </c>
      <c r="E1523" s="617" t="s">
        <v>379</v>
      </c>
      <c r="F1523" s="617" t="s">
        <v>379</v>
      </c>
      <c r="G1523" s="617" t="s">
        <v>379</v>
      </c>
      <c r="H1523" s="618" t="s">
        <v>626</v>
      </c>
    </row>
    <row r="1524" spans="1:8" ht="15.75">
      <c r="A1524" s="619"/>
      <c r="B1524" s="620"/>
      <c r="C1524" s="621"/>
      <c r="D1524" s="621"/>
      <c r="E1524" s="621"/>
      <c r="F1524" s="621"/>
      <c r="G1524" s="621"/>
      <c r="H1524" s="148"/>
    </row>
    <row r="1525" spans="1:8" ht="18.75" customHeight="1">
      <c r="A1525" s="707" t="s">
        <v>665</v>
      </c>
      <c r="B1525" s="707"/>
      <c r="C1525" s="707"/>
      <c r="D1525" s="707"/>
      <c r="E1525" s="707"/>
      <c r="F1525" s="707"/>
      <c r="G1525" s="707"/>
      <c r="H1525" s="707"/>
    </row>
    <row r="1531" ht="15.75">
      <c r="H1531" s="11" t="s">
        <v>609</v>
      </c>
    </row>
    <row r="1532" ht="15.75">
      <c r="H1532" s="11" t="s">
        <v>610</v>
      </c>
    </row>
    <row r="1533" ht="15.75">
      <c r="H1533" s="11" t="s">
        <v>611</v>
      </c>
    </row>
    <row r="1534" ht="15.75">
      <c r="H1534" s="11"/>
    </row>
    <row r="1535" spans="1:8" ht="18.75" customHeight="1">
      <c r="A1535" s="713" t="s">
        <v>612</v>
      </c>
      <c r="B1535" s="713"/>
      <c r="C1535" s="713"/>
      <c r="D1535" s="713"/>
      <c r="E1535" s="713"/>
      <c r="F1535" s="713"/>
      <c r="G1535" s="713"/>
      <c r="H1535" s="713"/>
    </row>
    <row r="1536" spans="1:8" ht="18.75" customHeight="1">
      <c r="A1536" s="713" t="s">
        <v>613</v>
      </c>
      <c r="B1536" s="713"/>
      <c r="C1536" s="713"/>
      <c r="D1536" s="713"/>
      <c r="E1536" s="713"/>
      <c r="F1536" s="713"/>
      <c r="G1536" s="713"/>
      <c r="H1536" s="713"/>
    </row>
    <row r="1537" ht="15.75">
      <c r="H1537" s="11" t="s">
        <v>43</v>
      </c>
    </row>
    <row r="1538" ht="15.75">
      <c r="H1538" s="11" t="s">
        <v>44</v>
      </c>
    </row>
    <row r="1539" ht="15.75">
      <c r="H1539" s="11" t="s">
        <v>45</v>
      </c>
    </row>
    <row r="1540" ht="15.75">
      <c r="H1540" s="594" t="s">
        <v>614</v>
      </c>
    </row>
    <row r="1541" ht="15.75">
      <c r="H1541" s="11" t="s">
        <v>615</v>
      </c>
    </row>
    <row r="1542" ht="15.75">
      <c r="H1542" s="11" t="s">
        <v>47</v>
      </c>
    </row>
    <row r="1543" ht="15.75">
      <c r="A1543" s="595"/>
    </row>
    <row r="1544" ht="15.75">
      <c r="A1544" s="3" t="s">
        <v>748</v>
      </c>
    </row>
    <row r="1545" spans="1:8" ht="12.75" customHeight="1">
      <c r="A1545" s="717" t="s">
        <v>0</v>
      </c>
      <c r="B1545" s="714"/>
      <c r="C1545" s="714"/>
      <c r="D1545" s="714"/>
      <c r="E1545" s="714"/>
      <c r="F1545" s="714"/>
      <c r="G1545" s="714"/>
      <c r="H1545" s="714"/>
    </row>
    <row r="1546" spans="1:8" ht="16.5" thickBot="1">
      <c r="A1546" s="597"/>
      <c r="B1546" s="597"/>
      <c r="C1546" s="598"/>
      <c r="D1546" s="598"/>
      <c r="E1546" s="598"/>
      <c r="F1546" s="598"/>
      <c r="G1546" s="598"/>
      <c r="H1546" s="598"/>
    </row>
    <row r="1547" spans="1:8" ht="12.75" customHeight="1">
      <c r="A1547" s="708" t="s">
        <v>617</v>
      </c>
      <c r="B1547" s="710" t="s">
        <v>618</v>
      </c>
      <c r="C1547" s="711" t="s">
        <v>619</v>
      </c>
      <c r="D1547" s="711"/>
      <c r="E1547" s="711"/>
      <c r="F1547" s="711"/>
      <c r="G1547" s="712" t="s">
        <v>620</v>
      </c>
      <c r="H1547" s="708" t="s">
        <v>621</v>
      </c>
    </row>
    <row r="1548" spans="1:8" ht="15.75">
      <c r="A1548" s="708"/>
      <c r="B1548" s="710"/>
      <c r="C1548" s="711"/>
      <c r="D1548" s="711"/>
      <c r="E1548" s="711"/>
      <c r="F1548" s="711"/>
      <c r="G1548" s="712"/>
      <c r="H1548" s="708"/>
    </row>
    <row r="1549" spans="1:8" ht="31.5">
      <c r="A1549" s="708"/>
      <c r="B1549" s="710"/>
      <c r="C1549" s="601" t="s">
        <v>622</v>
      </c>
      <c r="D1549" s="601" t="s">
        <v>623</v>
      </c>
      <c r="E1549" s="602" t="s">
        <v>622</v>
      </c>
      <c r="F1549" s="603" t="s">
        <v>623</v>
      </c>
      <c r="G1549" s="712"/>
      <c r="H1549" s="708"/>
    </row>
    <row r="1550" spans="1:8" ht="15.75">
      <c r="A1550" s="599">
        <v>1</v>
      </c>
      <c r="B1550" s="599">
        <v>2</v>
      </c>
      <c r="C1550" s="604">
        <v>3</v>
      </c>
      <c r="D1550" s="604">
        <v>4</v>
      </c>
      <c r="E1550" s="605"/>
      <c r="F1550" s="606"/>
      <c r="G1550" s="600">
        <v>5</v>
      </c>
      <c r="H1550" s="599">
        <v>6</v>
      </c>
    </row>
    <row r="1551" spans="1:8" ht="12.75" customHeight="1">
      <c r="A1551" s="607">
        <v>1</v>
      </c>
      <c r="B1551" s="709" t="s">
        <v>624</v>
      </c>
      <c r="C1551" s="709"/>
      <c r="D1551" s="709"/>
      <c r="E1551" s="709"/>
      <c r="F1551" s="709"/>
      <c r="G1551" s="709"/>
      <c r="H1551" s="709"/>
    </row>
    <row r="1552" spans="1:8" ht="15.75">
      <c r="A1552" s="608" t="s">
        <v>74</v>
      </c>
      <c r="B1552" s="609" t="s">
        <v>625</v>
      </c>
      <c r="C1552" s="610" t="s">
        <v>379</v>
      </c>
      <c r="D1552" s="610" t="s">
        <v>379</v>
      </c>
      <c r="E1552" s="610" t="s">
        <v>379</v>
      </c>
      <c r="F1552" s="610" t="s">
        <v>379</v>
      </c>
      <c r="G1552" s="610" t="s">
        <v>379</v>
      </c>
      <c r="H1552" s="611" t="s">
        <v>626</v>
      </c>
    </row>
    <row r="1553" spans="1:8" ht="15.75">
      <c r="A1553" s="608" t="s">
        <v>313</v>
      </c>
      <c r="B1553" s="609" t="s">
        <v>627</v>
      </c>
      <c r="C1553" s="610" t="s">
        <v>379</v>
      </c>
      <c r="D1553" s="610" t="s">
        <v>379</v>
      </c>
      <c r="E1553" s="610" t="s">
        <v>379</v>
      </c>
      <c r="F1553" s="610" t="s">
        <v>379</v>
      </c>
      <c r="G1553" s="610" t="s">
        <v>379</v>
      </c>
      <c r="H1553" s="611" t="s">
        <v>626</v>
      </c>
    </row>
    <row r="1554" spans="1:8" ht="31.5">
      <c r="A1554" s="608" t="s">
        <v>315</v>
      </c>
      <c r="B1554" s="612" t="s">
        <v>628</v>
      </c>
      <c r="C1554" s="610" t="s">
        <v>379</v>
      </c>
      <c r="D1554" s="610" t="s">
        <v>379</v>
      </c>
      <c r="E1554" s="610" t="s">
        <v>379</v>
      </c>
      <c r="F1554" s="610" t="s">
        <v>379</v>
      </c>
      <c r="G1554" s="610" t="s">
        <v>379</v>
      </c>
      <c r="H1554" s="611" t="s">
        <v>626</v>
      </c>
    </row>
    <row r="1555" spans="1:8" ht="47.25">
      <c r="A1555" s="608" t="s">
        <v>317</v>
      </c>
      <c r="B1555" s="612" t="s">
        <v>629</v>
      </c>
      <c r="C1555" s="610" t="s">
        <v>379</v>
      </c>
      <c r="D1555" s="610" t="s">
        <v>379</v>
      </c>
      <c r="E1555" s="610" t="s">
        <v>379</v>
      </c>
      <c r="F1555" s="610" t="s">
        <v>379</v>
      </c>
      <c r="G1555" s="610" t="s">
        <v>379</v>
      </c>
      <c r="H1555" s="611" t="s">
        <v>626</v>
      </c>
    </row>
    <row r="1556" spans="1:8" ht="15.75">
      <c r="A1556" s="608" t="s">
        <v>630</v>
      </c>
      <c r="B1556" s="613" t="s">
        <v>631</v>
      </c>
      <c r="C1556" s="610" t="s">
        <v>379</v>
      </c>
      <c r="D1556" s="610" t="s">
        <v>379</v>
      </c>
      <c r="E1556" s="610" t="s">
        <v>379</v>
      </c>
      <c r="F1556" s="610" t="s">
        <v>379</v>
      </c>
      <c r="G1556" s="610" t="s">
        <v>379</v>
      </c>
      <c r="H1556" s="611" t="s">
        <v>626</v>
      </c>
    </row>
    <row r="1557" spans="1:8" ht="15.75">
      <c r="A1557" s="608" t="s">
        <v>632</v>
      </c>
      <c r="B1557" s="613" t="s">
        <v>633</v>
      </c>
      <c r="C1557" s="610" t="s">
        <v>379</v>
      </c>
      <c r="D1557" s="610" t="s">
        <v>379</v>
      </c>
      <c r="E1557" s="610" t="s">
        <v>379</v>
      </c>
      <c r="F1557" s="610" t="s">
        <v>379</v>
      </c>
      <c r="G1557" s="610" t="s">
        <v>379</v>
      </c>
      <c r="H1557" s="611" t="s">
        <v>626</v>
      </c>
    </row>
    <row r="1558" spans="1:8" ht="18.75" customHeight="1">
      <c r="A1558" s="608">
        <v>2</v>
      </c>
      <c r="B1558" s="706" t="s">
        <v>634</v>
      </c>
      <c r="C1558" s="706"/>
      <c r="D1558" s="706"/>
      <c r="E1558" s="706"/>
      <c r="F1558" s="706"/>
      <c r="G1558" s="706"/>
      <c r="H1558" s="706"/>
    </row>
    <row r="1559" spans="1:8" ht="31.5">
      <c r="A1559" s="608" t="s">
        <v>321</v>
      </c>
      <c r="B1559" s="612" t="s">
        <v>635</v>
      </c>
      <c r="C1559" s="610" t="s">
        <v>710</v>
      </c>
      <c r="D1559" s="610" t="s">
        <v>723</v>
      </c>
      <c r="E1559" s="610" t="s">
        <v>379</v>
      </c>
      <c r="F1559" s="610" t="s">
        <v>379</v>
      </c>
      <c r="G1559" s="614">
        <v>0</v>
      </c>
      <c r="H1559" s="611"/>
    </row>
    <row r="1560" spans="1:8" ht="47.25">
      <c r="A1560" s="608" t="s">
        <v>325</v>
      </c>
      <c r="B1560" s="612" t="s">
        <v>638</v>
      </c>
      <c r="C1560" s="610" t="s">
        <v>379</v>
      </c>
      <c r="D1560" s="610" t="s">
        <v>379</v>
      </c>
      <c r="E1560" s="610" t="s">
        <v>379</v>
      </c>
      <c r="F1560" s="610" t="s">
        <v>379</v>
      </c>
      <c r="G1560" s="610" t="s">
        <v>379</v>
      </c>
      <c r="H1560" s="611" t="s">
        <v>626</v>
      </c>
    </row>
    <row r="1561" spans="1:8" ht="31.5">
      <c r="A1561" s="608" t="s">
        <v>639</v>
      </c>
      <c r="B1561" s="612" t="s">
        <v>640</v>
      </c>
      <c r="C1561" s="610" t="s">
        <v>379</v>
      </c>
      <c r="D1561" s="610" t="s">
        <v>379</v>
      </c>
      <c r="E1561" s="610" t="s">
        <v>379</v>
      </c>
      <c r="F1561" s="610" t="s">
        <v>379</v>
      </c>
      <c r="G1561" s="610" t="s">
        <v>379</v>
      </c>
      <c r="H1561" s="611" t="s">
        <v>626</v>
      </c>
    </row>
    <row r="1562" spans="1:8" ht="18.75" customHeight="1">
      <c r="A1562" s="608">
        <v>3</v>
      </c>
      <c r="B1562" s="706" t="s">
        <v>641</v>
      </c>
      <c r="C1562" s="706"/>
      <c r="D1562" s="706"/>
      <c r="E1562" s="706"/>
      <c r="F1562" s="706"/>
      <c r="G1562" s="706"/>
      <c r="H1562" s="706"/>
    </row>
    <row r="1563" spans="1:8" ht="31.5">
      <c r="A1563" s="608" t="s">
        <v>378</v>
      </c>
      <c r="B1563" s="613" t="s">
        <v>642</v>
      </c>
      <c r="C1563" s="610" t="s">
        <v>379</v>
      </c>
      <c r="D1563" s="610" t="s">
        <v>379</v>
      </c>
      <c r="E1563" s="610" t="s">
        <v>379</v>
      </c>
      <c r="F1563" s="610" t="s">
        <v>379</v>
      </c>
      <c r="G1563" s="610" t="s">
        <v>379</v>
      </c>
      <c r="H1563" s="611" t="s">
        <v>626</v>
      </c>
    </row>
    <row r="1564" spans="1:8" ht="15.75">
      <c r="A1564" s="608" t="s">
        <v>643</v>
      </c>
      <c r="B1564" s="613" t="s">
        <v>644</v>
      </c>
      <c r="C1564" s="610" t="s">
        <v>710</v>
      </c>
      <c r="D1564" s="610" t="s">
        <v>711</v>
      </c>
      <c r="E1564" s="610" t="s">
        <v>379</v>
      </c>
      <c r="F1564" s="610" t="s">
        <v>379</v>
      </c>
      <c r="G1564" s="614">
        <v>0</v>
      </c>
      <c r="H1564" s="611"/>
    </row>
    <row r="1565" spans="1:8" ht="15.75">
      <c r="A1565" s="608" t="s">
        <v>380</v>
      </c>
      <c r="B1565" s="613" t="s">
        <v>646</v>
      </c>
      <c r="C1565" s="610" t="s">
        <v>713</v>
      </c>
      <c r="D1565" s="610" t="s">
        <v>749</v>
      </c>
      <c r="E1565" s="610" t="s">
        <v>379</v>
      </c>
      <c r="F1565" s="610" t="s">
        <v>379</v>
      </c>
      <c r="G1565" s="614">
        <v>0</v>
      </c>
      <c r="H1565" s="611"/>
    </row>
    <row r="1566" spans="1:8" ht="15.75">
      <c r="A1566" s="608" t="s">
        <v>649</v>
      </c>
      <c r="B1566" s="613" t="s">
        <v>650</v>
      </c>
      <c r="C1566" s="610" t="s">
        <v>715</v>
      </c>
      <c r="D1566" s="610" t="s">
        <v>722</v>
      </c>
      <c r="E1566" s="610" t="s">
        <v>379</v>
      </c>
      <c r="F1566" s="610" t="s">
        <v>379</v>
      </c>
      <c r="G1566" s="614">
        <v>0</v>
      </c>
      <c r="H1566" s="611"/>
    </row>
    <row r="1567" spans="1:8" ht="15.75">
      <c r="A1567" s="608" t="s">
        <v>653</v>
      </c>
      <c r="B1567" s="613" t="s">
        <v>654</v>
      </c>
      <c r="C1567" s="610" t="s">
        <v>750</v>
      </c>
      <c r="D1567" s="610" t="s">
        <v>751</v>
      </c>
      <c r="E1567" s="610" t="s">
        <v>379</v>
      </c>
      <c r="F1567" s="610" t="s">
        <v>379</v>
      </c>
      <c r="G1567" s="614">
        <v>0</v>
      </c>
      <c r="H1567" s="611"/>
    </row>
    <row r="1568" spans="1:8" ht="12.75" customHeight="1">
      <c r="A1568" s="608">
        <v>4</v>
      </c>
      <c r="B1568" s="706" t="s">
        <v>656</v>
      </c>
      <c r="C1568" s="706"/>
      <c r="D1568" s="706"/>
      <c r="E1568" s="706"/>
      <c r="F1568" s="706"/>
      <c r="G1568" s="706"/>
      <c r="H1568" s="706"/>
    </row>
    <row r="1569" spans="1:8" ht="31.5">
      <c r="A1569" s="608" t="s">
        <v>657</v>
      </c>
      <c r="B1569" s="612" t="s">
        <v>658</v>
      </c>
      <c r="C1569" s="610" t="s">
        <v>379</v>
      </c>
      <c r="D1569" s="610" t="s">
        <v>379</v>
      </c>
      <c r="E1569" s="610" t="s">
        <v>379</v>
      </c>
      <c r="F1569" s="610" t="s">
        <v>379</v>
      </c>
      <c r="G1569" s="610" t="s">
        <v>379</v>
      </c>
      <c r="H1569" s="611" t="s">
        <v>626</v>
      </c>
    </row>
    <row r="1570" spans="1:8" ht="47.25">
      <c r="A1570" s="608" t="s">
        <v>659</v>
      </c>
      <c r="B1570" s="612" t="s">
        <v>660</v>
      </c>
      <c r="C1570" s="610" t="s">
        <v>379</v>
      </c>
      <c r="D1570" s="610" t="s">
        <v>379</v>
      </c>
      <c r="E1570" s="610" t="s">
        <v>379</v>
      </c>
      <c r="F1570" s="610" t="s">
        <v>379</v>
      </c>
      <c r="G1570" s="610" t="s">
        <v>379</v>
      </c>
      <c r="H1570" s="611" t="s">
        <v>626</v>
      </c>
    </row>
    <row r="1571" spans="1:8" ht="31.5">
      <c r="A1571" s="608" t="s">
        <v>661</v>
      </c>
      <c r="B1571" s="613" t="s">
        <v>662</v>
      </c>
      <c r="C1571" s="610" t="s">
        <v>379</v>
      </c>
      <c r="D1571" s="610" t="s">
        <v>379</v>
      </c>
      <c r="E1571" s="610" t="s">
        <v>379</v>
      </c>
      <c r="F1571" s="610" t="s">
        <v>379</v>
      </c>
      <c r="G1571" s="610" t="s">
        <v>379</v>
      </c>
      <c r="H1571" s="611" t="s">
        <v>626</v>
      </c>
    </row>
    <row r="1572" spans="1:8" ht="31.5">
      <c r="A1572" s="615" t="s">
        <v>663</v>
      </c>
      <c r="B1572" s="616" t="s">
        <v>664</v>
      </c>
      <c r="C1572" s="617" t="s">
        <v>379</v>
      </c>
      <c r="D1572" s="617" t="s">
        <v>379</v>
      </c>
      <c r="E1572" s="617" t="s">
        <v>379</v>
      </c>
      <c r="F1572" s="617" t="s">
        <v>379</v>
      </c>
      <c r="G1572" s="617" t="s">
        <v>379</v>
      </c>
      <c r="H1572" s="618" t="s">
        <v>626</v>
      </c>
    </row>
    <row r="1573" spans="1:8" ht="15.75">
      <c r="A1573" s="619"/>
      <c r="B1573" s="620"/>
      <c r="C1573" s="621"/>
      <c r="D1573" s="621"/>
      <c r="E1573" s="621"/>
      <c r="F1573" s="621"/>
      <c r="G1573" s="621"/>
      <c r="H1573" s="148"/>
    </row>
    <row r="1574" spans="1:8" ht="12.75" customHeight="1">
      <c r="A1574" s="707" t="s">
        <v>665</v>
      </c>
      <c r="B1574" s="707"/>
      <c r="C1574" s="707"/>
      <c r="D1574" s="707"/>
      <c r="E1574" s="707"/>
      <c r="F1574" s="707"/>
      <c r="G1574" s="707"/>
      <c r="H1574" s="707"/>
    </row>
    <row r="1578" ht="15.75">
      <c r="H1578" s="11" t="s">
        <v>609</v>
      </c>
    </row>
    <row r="1579" ht="15.75">
      <c r="H1579" s="11" t="s">
        <v>610</v>
      </c>
    </row>
    <row r="1580" ht="15.75">
      <c r="H1580" s="11" t="s">
        <v>611</v>
      </c>
    </row>
    <row r="1581" ht="15.75">
      <c r="H1581" s="11"/>
    </row>
    <row r="1582" spans="1:8" ht="12.75" customHeight="1">
      <c r="A1582" s="713" t="s">
        <v>612</v>
      </c>
      <c r="B1582" s="713"/>
      <c r="C1582" s="713"/>
      <c r="D1582" s="713"/>
      <c r="E1582" s="713"/>
      <c r="F1582" s="713"/>
      <c r="G1582" s="713"/>
      <c r="H1582" s="713"/>
    </row>
    <row r="1583" spans="1:8" ht="12.75" customHeight="1">
      <c r="A1583" s="713" t="s">
        <v>613</v>
      </c>
      <c r="B1583" s="713"/>
      <c r="C1583" s="713"/>
      <c r="D1583" s="713"/>
      <c r="E1583" s="713"/>
      <c r="F1583" s="713"/>
      <c r="G1583" s="713"/>
      <c r="H1583" s="713"/>
    </row>
    <row r="1584" ht="15.75">
      <c r="H1584" s="11" t="s">
        <v>43</v>
      </c>
    </row>
    <row r="1585" ht="15.75">
      <c r="H1585" s="11" t="s">
        <v>44</v>
      </c>
    </row>
    <row r="1586" ht="15.75">
      <c r="H1586" s="11" t="s">
        <v>45</v>
      </c>
    </row>
    <row r="1587" ht="15.75">
      <c r="H1587" s="594" t="s">
        <v>614</v>
      </c>
    </row>
    <row r="1588" ht="15.75">
      <c r="H1588" s="11" t="s">
        <v>615</v>
      </c>
    </row>
    <row r="1589" ht="15.75">
      <c r="H1589" s="11" t="s">
        <v>47</v>
      </c>
    </row>
    <row r="1590" ht="15.75">
      <c r="A1590" s="595"/>
    </row>
    <row r="1591" ht="15.75">
      <c r="A1591" s="3" t="s">
        <v>752</v>
      </c>
    </row>
    <row r="1592" spans="1:8" ht="16.5" customHeight="1">
      <c r="A1592" s="717" t="s">
        <v>0</v>
      </c>
      <c r="B1592" s="714"/>
      <c r="C1592" s="714"/>
      <c r="D1592" s="714"/>
      <c r="E1592" s="714"/>
      <c r="F1592" s="714"/>
      <c r="G1592" s="714"/>
      <c r="H1592" s="714"/>
    </row>
    <row r="1593" spans="1:8" ht="16.5" thickBot="1">
      <c r="A1593" s="597"/>
      <c r="B1593" s="597"/>
      <c r="C1593" s="598"/>
      <c r="D1593" s="598"/>
      <c r="E1593" s="598"/>
      <c r="F1593" s="598"/>
      <c r="G1593" s="598"/>
      <c r="H1593" s="598"/>
    </row>
    <row r="1594" spans="1:8" ht="12.75" customHeight="1">
      <c r="A1594" s="708" t="s">
        <v>617</v>
      </c>
      <c r="B1594" s="710" t="s">
        <v>618</v>
      </c>
      <c r="C1594" s="711" t="s">
        <v>619</v>
      </c>
      <c r="D1594" s="711"/>
      <c r="E1594" s="711"/>
      <c r="F1594" s="711"/>
      <c r="G1594" s="712" t="s">
        <v>620</v>
      </c>
      <c r="H1594" s="708" t="s">
        <v>621</v>
      </c>
    </row>
    <row r="1595" spans="1:8" ht="15.75">
      <c r="A1595" s="708"/>
      <c r="B1595" s="710"/>
      <c r="C1595" s="711"/>
      <c r="D1595" s="711"/>
      <c r="E1595" s="711"/>
      <c r="F1595" s="711"/>
      <c r="G1595" s="712"/>
      <c r="H1595" s="708"/>
    </row>
    <row r="1596" spans="1:8" ht="31.5">
      <c r="A1596" s="708"/>
      <c r="B1596" s="710"/>
      <c r="C1596" s="601" t="s">
        <v>622</v>
      </c>
      <c r="D1596" s="601" t="s">
        <v>623</v>
      </c>
      <c r="E1596" s="602" t="s">
        <v>622</v>
      </c>
      <c r="F1596" s="603" t="s">
        <v>623</v>
      </c>
      <c r="G1596" s="712"/>
      <c r="H1596" s="708"/>
    </row>
    <row r="1597" spans="1:8" ht="15.75">
      <c r="A1597" s="599">
        <v>1</v>
      </c>
      <c r="B1597" s="599">
        <v>2</v>
      </c>
      <c r="C1597" s="604">
        <v>3</v>
      </c>
      <c r="D1597" s="604">
        <v>4</v>
      </c>
      <c r="E1597" s="605"/>
      <c r="F1597" s="606"/>
      <c r="G1597" s="600">
        <v>5</v>
      </c>
      <c r="H1597" s="599">
        <v>6</v>
      </c>
    </row>
    <row r="1598" spans="1:8" ht="12.75" customHeight="1">
      <c r="A1598" s="607">
        <v>1</v>
      </c>
      <c r="B1598" s="709" t="s">
        <v>624</v>
      </c>
      <c r="C1598" s="709"/>
      <c r="D1598" s="709"/>
      <c r="E1598" s="709"/>
      <c r="F1598" s="709"/>
      <c r="G1598" s="709"/>
      <c r="H1598" s="709"/>
    </row>
    <row r="1599" spans="1:8" ht="15.75">
      <c r="A1599" s="608" t="s">
        <v>74</v>
      </c>
      <c r="B1599" s="609" t="s">
        <v>625</v>
      </c>
      <c r="C1599" s="610" t="s">
        <v>379</v>
      </c>
      <c r="D1599" s="610" t="s">
        <v>379</v>
      </c>
      <c r="E1599" s="610" t="s">
        <v>379</v>
      </c>
      <c r="F1599" s="610" t="s">
        <v>379</v>
      </c>
      <c r="G1599" s="610" t="s">
        <v>379</v>
      </c>
      <c r="H1599" s="611" t="s">
        <v>626</v>
      </c>
    </row>
    <row r="1600" spans="1:8" ht="15.75">
      <c r="A1600" s="608" t="s">
        <v>313</v>
      </c>
      <c r="B1600" s="609" t="s">
        <v>627</v>
      </c>
      <c r="C1600" s="610" t="s">
        <v>379</v>
      </c>
      <c r="D1600" s="610" t="s">
        <v>379</v>
      </c>
      <c r="E1600" s="610" t="s">
        <v>379</v>
      </c>
      <c r="F1600" s="610" t="s">
        <v>379</v>
      </c>
      <c r="G1600" s="610" t="s">
        <v>379</v>
      </c>
      <c r="H1600" s="611" t="s">
        <v>626</v>
      </c>
    </row>
    <row r="1601" spans="1:8" ht="31.5">
      <c r="A1601" s="608" t="s">
        <v>315</v>
      </c>
      <c r="B1601" s="612" t="s">
        <v>628</v>
      </c>
      <c r="C1601" s="610" t="s">
        <v>379</v>
      </c>
      <c r="D1601" s="610" t="s">
        <v>379</v>
      </c>
      <c r="E1601" s="610" t="s">
        <v>379</v>
      </c>
      <c r="F1601" s="610" t="s">
        <v>379</v>
      </c>
      <c r="G1601" s="610" t="s">
        <v>379</v>
      </c>
      <c r="H1601" s="611" t="s">
        <v>626</v>
      </c>
    </row>
    <row r="1602" spans="1:8" ht="47.25">
      <c r="A1602" s="608" t="s">
        <v>317</v>
      </c>
      <c r="B1602" s="612" t="s">
        <v>629</v>
      </c>
      <c r="C1602" s="610" t="s">
        <v>379</v>
      </c>
      <c r="D1602" s="610" t="s">
        <v>379</v>
      </c>
      <c r="E1602" s="610" t="s">
        <v>379</v>
      </c>
      <c r="F1602" s="610" t="s">
        <v>379</v>
      </c>
      <c r="G1602" s="610" t="s">
        <v>379</v>
      </c>
      <c r="H1602" s="611" t="s">
        <v>626</v>
      </c>
    </row>
    <row r="1603" spans="1:8" ht="15.75">
      <c r="A1603" s="608" t="s">
        <v>630</v>
      </c>
      <c r="B1603" s="613" t="s">
        <v>631</v>
      </c>
      <c r="C1603" s="610" t="s">
        <v>379</v>
      </c>
      <c r="D1603" s="610" t="s">
        <v>379</v>
      </c>
      <c r="E1603" s="610" t="s">
        <v>379</v>
      </c>
      <c r="F1603" s="610" t="s">
        <v>379</v>
      </c>
      <c r="G1603" s="610" t="s">
        <v>379</v>
      </c>
      <c r="H1603" s="611" t="s">
        <v>626</v>
      </c>
    </row>
    <row r="1604" spans="1:8" ht="15.75">
      <c r="A1604" s="608" t="s">
        <v>632</v>
      </c>
      <c r="B1604" s="613" t="s">
        <v>633</v>
      </c>
      <c r="C1604" s="610" t="s">
        <v>379</v>
      </c>
      <c r="D1604" s="610" t="s">
        <v>379</v>
      </c>
      <c r="E1604" s="610" t="s">
        <v>379</v>
      </c>
      <c r="F1604" s="610" t="s">
        <v>379</v>
      </c>
      <c r="G1604" s="610" t="s">
        <v>379</v>
      </c>
      <c r="H1604" s="611" t="s">
        <v>626</v>
      </c>
    </row>
    <row r="1605" spans="1:8" ht="12.75" customHeight="1">
      <c r="A1605" s="608">
        <v>2</v>
      </c>
      <c r="B1605" s="706" t="s">
        <v>634</v>
      </c>
      <c r="C1605" s="706"/>
      <c r="D1605" s="706"/>
      <c r="E1605" s="706"/>
      <c r="F1605" s="706"/>
      <c r="G1605" s="706"/>
      <c r="H1605" s="706"/>
    </row>
    <row r="1606" spans="1:8" ht="35.25" customHeight="1">
      <c r="A1606" s="608" t="s">
        <v>321</v>
      </c>
      <c r="B1606" s="612" t="s">
        <v>635</v>
      </c>
      <c r="C1606" s="610" t="s">
        <v>710</v>
      </c>
      <c r="D1606" s="610" t="s">
        <v>711</v>
      </c>
      <c r="E1606" s="610" t="s">
        <v>379</v>
      </c>
      <c r="F1606" s="610" t="s">
        <v>379</v>
      </c>
      <c r="G1606" s="614">
        <v>0</v>
      </c>
      <c r="H1606" s="611"/>
    </row>
    <row r="1607" spans="1:8" ht="47.25">
      <c r="A1607" s="608" t="s">
        <v>325</v>
      </c>
      <c r="B1607" s="612" t="s">
        <v>638</v>
      </c>
      <c r="C1607" s="610" t="s">
        <v>379</v>
      </c>
      <c r="D1607" s="610" t="s">
        <v>379</v>
      </c>
      <c r="E1607" s="610" t="s">
        <v>379</v>
      </c>
      <c r="F1607" s="610" t="s">
        <v>379</v>
      </c>
      <c r="G1607" s="610" t="s">
        <v>379</v>
      </c>
      <c r="H1607" s="611" t="s">
        <v>626</v>
      </c>
    </row>
    <row r="1608" spans="1:8" ht="31.5">
      <c r="A1608" s="608" t="s">
        <v>639</v>
      </c>
      <c r="B1608" s="612" t="s">
        <v>640</v>
      </c>
      <c r="C1608" s="610" t="s">
        <v>379</v>
      </c>
      <c r="D1608" s="610" t="s">
        <v>379</v>
      </c>
      <c r="E1608" s="610" t="s">
        <v>379</v>
      </c>
      <c r="F1608" s="610" t="s">
        <v>379</v>
      </c>
      <c r="G1608" s="610" t="s">
        <v>379</v>
      </c>
      <c r="H1608" s="611" t="s">
        <v>626</v>
      </c>
    </row>
    <row r="1609" spans="1:8" ht="12.75" customHeight="1">
      <c r="A1609" s="608">
        <v>3</v>
      </c>
      <c r="B1609" s="706" t="s">
        <v>641</v>
      </c>
      <c r="C1609" s="706"/>
      <c r="D1609" s="706"/>
      <c r="E1609" s="706"/>
      <c r="F1609" s="706"/>
      <c r="G1609" s="706"/>
      <c r="H1609" s="706"/>
    </row>
    <row r="1610" spans="1:8" ht="31.5">
      <c r="A1610" s="608" t="s">
        <v>378</v>
      </c>
      <c r="B1610" s="613" t="s">
        <v>642</v>
      </c>
      <c r="C1610" s="610" t="s">
        <v>379</v>
      </c>
      <c r="D1610" s="610" t="s">
        <v>379</v>
      </c>
      <c r="E1610" s="610" t="s">
        <v>379</v>
      </c>
      <c r="F1610" s="610" t="s">
        <v>379</v>
      </c>
      <c r="G1610" s="610" t="s">
        <v>379</v>
      </c>
      <c r="H1610" s="611" t="s">
        <v>626</v>
      </c>
    </row>
    <row r="1611" spans="1:8" ht="15.75">
      <c r="A1611" s="608" t="s">
        <v>643</v>
      </c>
      <c r="B1611" s="613" t="s">
        <v>644</v>
      </c>
      <c r="C1611" s="610" t="s">
        <v>710</v>
      </c>
      <c r="D1611" s="610" t="s">
        <v>712</v>
      </c>
      <c r="E1611" s="610" t="s">
        <v>379</v>
      </c>
      <c r="F1611" s="610" t="s">
        <v>379</v>
      </c>
      <c r="G1611" s="614">
        <v>0</v>
      </c>
      <c r="H1611" s="611"/>
    </row>
    <row r="1612" spans="1:8" ht="15.75">
      <c r="A1612" s="608" t="s">
        <v>380</v>
      </c>
      <c r="B1612" s="613" t="s">
        <v>646</v>
      </c>
      <c r="C1612" s="610" t="s">
        <v>713</v>
      </c>
      <c r="D1612" s="610" t="s">
        <v>714</v>
      </c>
      <c r="E1612" s="610" t="s">
        <v>379</v>
      </c>
      <c r="F1612" s="610" t="s">
        <v>379</v>
      </c>
      <c r="G1612" s="614">
        <v>0</v>
      </c>
      <c r="H1612" s="611"/>
    </row>
    <row r="1613" spans="1:8" ht="15.75">
      <c r="A1613" s="608" t="s">
        <v>649</v>
      </c>
      <c r="B1613" s="613" t="s">
        <v>650</v>
      </c>
      <c r="C1613" s="610" t="s">
        <v>715</v>
      </c>
      <c r="D1613" s="610" t="s">
        <v>716</v>
      </c>
      <c r="E1613" s="610" t="s">
        <v>379</v>
      </c>
      <c r="F1613" s="610" t="s">
        <v>379</v>
      </c>
      <c r="G1613" s="614">
        <v>0</v>
      </c>
      <c r="H1613" s="611"/>
    </row>
    <row r="1614" spans="1:8" ht="15.75">
      <c r="A1614" s="608" t="s">
        <v>653</v>
      </c>
      <c r="B1614" s="613" t="s">
        <v>654</v>
      </c>
      <c r="C1614" s="610" t="s">
        <v>717</v>
      </c>
      <c r="D1614" s="610" t="s">
        <v>711</v>
      </c>
      <c r="E1614" s="610" t="s">
        <v>379</v>
      </c>
      <c r="F1614" s="610" t="s">
        <v>379</v>
      </c>
      <c r="G1614" s="614">
        <v>0</v>
      </c>
      <c r="H1614" s="611"/>
    </row>
    <row r="1615" spans="1:8" ht="12.75" customHeight="1">
      <c r="A1615" s="608">
        <v>4</v>
      </c>
      <c r="B1615" s="706" t="s">
        <v>656</v>
      </c>
      <c r="C1615" s="706"/>
      <c r="D1615" s="706"/>
      <c r="E1615" s="706"/>
      <c r="F1615" s="706"/>
      <c r="G1615" s="706"/>
      <c r="H1615" s="706"/>
    </row>
    <row r="1616" spans="1:8" ht="31.5">
      <c r="A1616" s="608" t="s">
        <v>657</v>
      </c>
      <c r="B1616" s="612" t="s">
        <v>658</v>
      </c>
      <c r="C1616" s="610" t="s">
        <v>379</v>
      </c>
      <c r="D1616" s="610" t="s">
        <v>379</v>
      </c>
      <c r="E1616" s="610" t="s">
        <v>379</v>
      </c>
      <c r="F1616" s="610" t="s">
        <v>379</v>
      </c>
      <c r="G1616" s="610" t="s">
        <v>379</v>
      </c>
      <c r="H1616" s="611" t="s">
        <v>626</v>
      </c>
    </row>
    <row r="1617" spans="1:8" ht="47.25">
      <c r="A1617" s="608" t="s">
        <v>659</v>
      </c>
      <c r="B1617" s="612" t="s">
        <v>660</v>
      </c>
      <c r="C1617" s="610" t="s">
        <v>379</v>
      </c>
      <c r="D1617" s="610" t="s">
        <v>379</v>
      </c>
      <c r="E1617" s="610" t="s">
        <v>379</v>
      </c>
      <c r="F1617" s="610" t="s">
        <v>379</v>
      </c>
      <c r="G1617" s="610" t="s">
        <v>379</v>
      </c>
      <c r="H1617" s="611" t="s">
        <v>626</v>
      </c>
    </row>
    <row r="1618" spans="1:8" ht="31.5">
      <c r="A1618" s="608" t="s">
        <v>661</v>
      </c>
      <c r="B1618" s="613" t="s">
        <v>662</v>
      </c>
      <c r="C1618" s="610" t="s">
        <v>379</v>
      </c>
      <c r="D1618" s="610" t="s">
        <v>379</v>
      </c>
      <c r="E1618" s="610" t="s">
        <v>379</v>
      </c>
      <c r="F1618" s="610" t="s">
        <v>379</v>
      </c>
      <c r="G1618" s="610" t="s">
        <v>379</v>
      </c>
      <c r="H1618" s="611" t="s">
        <v>626</v>
      </c>
    </row>
    <row r="1619" spans="1:8" ht="31.5">
      <c r="A1619" s="615" t="s">
        <v>663</v>
      </c>
      <c r="B1619" s="616" t="s">
        <v>664</v>
      </c>
      <c r="C1619" s="617" t="s">
        <v>379</v>
      </c>
      <c r="D1619" s="617" t="s">
        <v>379</v>
      </c>
      <c r="E1619" s="617" t="s">
        <v>379</v>
      </c>
      <c r="F1619" s="617" t="s">
        <v>379</v>
      </c>
      <c r="G1619" s="617" t="s">
        <v>379</v>
      </c>
      <c r="H1619" s="618" t="s">
        <v>626</v>
      </c>
    </row>
    <row r="1620" spans="1:8" ht="15.75">
      <c r="A1620" s="619"/>
      <c r="B1620" s="620"/>
      <c r="C1620" s="621"/>
      <c r="D1620" s="621"/>
      <c r="E1620" s="621"/>
      <c r="F1620" s="621"/>
      <c r="G1620" s="621"/>
      <c r="H1620" s="148"/>
    </row>
    <row r="1621" spans="1:8" ht="12.75" customHeight="1">
      <c r="A1621" s="707" t="s">
        <v>665</v>
      </c>
      <c r="B1621" s="707"/>
      <c r="C1621" s="707"/>
      <c r="D1621" s="707"/>
      <c r="E1621" s="707"/>
      <c r="F1621" s="707"/>
      <c r="G1621" s="707"/>
      <c r="H1621" s="707"/>
    </row>
    <row r="1627" ht="15.75">
      <c r="H1627" s="11" t="s">
        <v>609</v>
      </c>
    </row>
    <row r="1628" ht="15.75">
      <c r="H1628" s="11" t="s">
        <v>610</v>
      </c>
    </row>
    <row r="1629" ht="15.75">
      <c r="H1629" s="11" t="s">
        <v>611</v>
      </c>
    </row>
    <row r="1630" ht="15.75">
      <c r="H1630" s="11"/>
    </row>
    <row r="1631" spans="1:8" ht="12.75" customHeight="1">
      <c r="A1631" s="713" t="s">
        <v>612</v>
      </c>
      <c r="B1631" s="713"/>
      <c r="C1631" s="713"/>
      <c r="D1631" s="713"/>
      <c r="E1631" s="713"/>
      <c r="F1631" s="713"/>
      <c r="G1631" s="713"/>
      <c r="H1631" s="713"/>
    </row>
    <row r="1632" spans="1:8" ht="12.75" customHeight="1">
      <c r="A1632" s="713" t="s">
        <v>613</v>
      </c>
      <c r="B1632" s="713"/>
      <c r="C1632" s="713"/>
      <c r="D1632" s="713"/>
      <c r="E1632" s="713"/>
      <c r="F1632" s="713"/>
      <c r="G1632" s="713"/>
      <c r="H1632" s="713"/>
    </row>
    <row r="1633" ht="15.75">
      <c r="H1633" s="11" t="s">
        <v>43</v>
      </c>
    </row>
    <row r="1634" ht="15.75">
      <c r="H1634" s="11" t="s">
        <v>44</v>
      </c>
    </row>
    <row r="1635" ht="15.75">
      <c r="H1635" s="11" t="s">
        <v>45</v>
      </c>
    </row>
    <row r="1636" ht="15.75">
      <c r="H1636" s="594" t="s">
        <v>614</v>
      </c>
    </row>
    <row r="1637" ht="15.75">
      <c r="H1637" s="11" t="s">
        <v>615</v>
      </c>
    </row>
    <row r="1638" ht="15.75">
      <c r="H1638" s="11" t="s">
        <v>47</v>
      </c>
    </row>
    <row r="1639" ht="15.75">
      <c r="A1639" s="595"/>
    </row>
    <row r="1640" ht="15.75">
      <c r="A1640" s="3" t="s">
        <v>753</v>
      </c>
    </row>
    <row r="1641" spans="1:8" ht="12.75" customHeight="1">
      <c r="A1641" s="717" t="s">
        <v>0</v>
      </c>
      <c r="B1641" s="714"/>
      <c r="C1641" s="714"/>
      <c r="D1641" s="714"/>
      <c r="E1641" s="714"/>
      <c r="F1641" s="714"/>
      <c r="G1641" s="714"/>
      <c r="H1641" s="714"/>
    </row>
    <row r="1642" spans="1:8" ht="16.5" thickBot="1">
      <c r="A1642" s="597"/>
      <c r="B1642" s="597"/>
      <c r="C1642" s="598"/>
      <c r="D1642" s="598"/>
      <c r="E1642" s="598"/>
      <c r="F1642" s="598"/>
      <c r="G1642" s="598"/>
      <c r="H1642" s="598"/>
    </row>
    <row r="1643" spans="1:8" ht="12.75" customHeight="1">
      <c r="A1643" s="708" t="s">
        <v>617</v>
      </c>
      <c r="B1643" s="710" t="s">
        <v>618</v>
      </c>
      <c r="C1643" s="711" t="s">
        <v>619</v>
      </c>
      <c r="D1643" s="711"/>
      <c r="E1643" s="711"/>
      <c r="F1643" s="711"/>
      <c r="G1643" s="712" t="s">
        <v>620</v>
      </c>
      <c r="H1643" s="708" t="s">
        <v>621</v>
      </c>
    </row>
    <row r="1644" spans="1:8" ht="15.75">
      <c r="A1644" s="708"/>
      <c r="B1644" s="710"/>
      <c r="C1644" s="711"/>
      <c r="D1644" s="711"/>
      <c r="E1644" s="711"/>
      <c r="F1644" s="711"/>
      <c r="G1644" s="712"/>
      <c r="H1644" s="708"/>
    </row>
    <row r="1645" spans="1:8" ht="31.5">
      <c r="A1645" s="708"/>
      <c r="B1645" s="710"/>
      <c r="C1645" s="601" t="s">
        <v>622</v>
      </c>
      <c r="D1645" s="601" t="s">
        <v>623</v>
      </c>
      <c r="E1645" s="602" t="s">
        <v>622</v>
      </c>
      <c r="F1645" s="603" t="s">
        <v>623</v>
      </c>
      <c r="G1645" s="712"/>
      <c r="H1645" s="708"/>
    </row>
    <row r="1646" spans="1:8" ht="15.75">
      <c r="A1646" s="599">
        <v>1</v>
      </c>
      <c r="B1646" s="599">
        <v>2</v>
      </c>
      <c r="C1646" s="604">
        <v>3</v>
      </c>
      <c r="D1646" s="604">
        <v>4</v>
      </c>
      <c r="E1646" s="605"/>
      <c r="F1646" s="606"/>
      <c r="G1646" s="600">
        <v>5</v>
      </c>
      <c r="H1646" s="599">
        <v>6</v>
      </c>
    </row>
    <row r="1647" spans="1:8" ht="12.75" customHeight="1">
      <c r="A1647" s="607">
        <v>1</v>
      </c>
      <c r="B1647" s="709" t="s">
        <v>624</v>
      </c>
      <c r="C1647" s="709"/>
      <c r="D1647" s="709"/>
      <c r="E1647" s="709"/>
      <c r="F1647" s="709"/>
      <c r="G1647" s="709"/>
      <c r="H1647" s="709"/>
    </row>
    <row r="1648" spans="1:8" ht="15.75">
      <c r="A1648" s="608" t="s">
        <v>74</v>
      </c>
      <c r="B1648" s="609" t="s">
        <v>625</v>
      </c>
      <c r="C1648" s="610" t="s">
        <v>379</v>
      </c>
      <c r="D1648" s="610" t="s">
        <v>379</v>
      </c>
      <c r="E1648" s="610" t="s">
        <v>379</v>
      </c>
      <c r="F1648" s="610" t="s">
        <v>379</v>
      </c>
      <c r="G1648" s="610" t="s">
        <v>379</v>
      </c>
      <c r="H1648" s="611" t="s">
        <v>626</v>
      </c>
    </row>
    <row r="1649" spans="1:8" ht="15.75">
      <c r="A1649" s="608" t="s">
        <v>313</v>
      </c>
      <c r="B1649" s="609" t="s">
        <v>627</v>
      </c>
      <c r="C1649" s="610" t="s">
        <v>379</v>
      </c>
      <c r="D1649" s="610" t="s">
        <v>379</v>
      </c>
      <c r="E1649" s="610" t="s">
        <v>379</v>
      </c>
      <c r="F1649" s="610" t="s">
        <v>379</v>
      </c>
      <c r="G1649" s="610" t="s">
        <v>379</v>
      </c>
      <c r="H1649" s="611" t="s">
        <v>626</v>
      </c>
    </row>
    <row r="1650" spans="1:8" ht="31.5">
      <c r="A1650" s="608" t="s">
        <v>315</v>
      </c>
      <c r="B1650" s="612" t="s">
        <v>628</v>
      </c>
      <c r="C1650" s="610" t="s">
        <v>379</v>
      </c>
      <c r="D1650" s="610" t="s">
        <v>379</v>
      </c>
      <c r="E1650" s="610" t="s">
        <v>379</v>
      </c>
      <c r="F1650" s="610" t="s">
        <v>379</v>
      </c>
      <c r="G1650" s="610" t="s">
        <v>379</v>
      </c>
      <c r="H1650" s="611" t="s">
        <v>626</v>
      </c>
    </row>
    <row r="1651" spans="1:8" ht="47.25">
      <c r="A1651" s="608" t="s">
        <v>317</v>
      </c>
      <c r="B1651" s="612" t="s">
        <v>629</v>
      </c>
      <c r="C1651" s="610" t="s">
        <v>379</v>
      </c>
      <c r="D1651" s="610" t="s">
        <v>379</v>
      </c>
      <c r="E1651" s="610" t="s">
        <v>379</v>
      </c>
      <c r="F1651" s="610" t="s">
        <v>379</v>
      </c>
      <c r="G1651" s="610" t="s">
        <v>379</v>
      </c>
      <c r="H1651" s="611" t="s">
        <v>626</v>
      </c>
    </row>
    <row r="1652" spans="1:8" ht="15.75">
      <c r="A1652" s="608" t="s">
        <v>630</v>
      </c>
      <c r="B1652" s="613" t="s">
        <v>631</v>
      </c>
      <c r="C1652" s="610" t="s">
        <v>379</v>
      </c>
      <c r="D1652" s="610" t="s">
        <v>379</v>
      </c>
      <c r="E1652" s="610" t="s">
        <v>379</v>
      </c>
      <c r="F1652" s="610" t="s">
        <v>379</v>
      </c>
      <c r="G1652" s="610" t="s">
        <v>379</v>
      </c>
      <c r="H1652" s="611" t="s">
        <v>626</v>
      </c>
    </row>
    <row r="1653" spans="1:8" ht="15.75">
      <c r="A1653" s="608" t="s">
        <v>632</v>
      </c>
      <c r="B1653" s="613" t="s">
        <v>633</v>
      </c>
      <c r="C1653" s="610" t="s">
        <v>379</v>
      </c>
      <c r="D1653" s="610" t="s">
        <v>379</v>
      </c>
      <c r="E1653" s="610" t="s">
        <v>379</v>
      </c>
      <c r="F1653" s="610" t="s">
        <v>379</v>
      </c>
      <c r="G1653" s="610" t="s">
        <v>379</v>
      </c>
      <c r="H1653" s="611" t="s">
        <v>626</v>
      </c>
    </row>
    <row r="1654" spans="1:8" ht="12.75" customHeight="1">
      <c r="A1654" s="608">
        <v>2</v>
      </c>
      <c r="B1654" s="706" t="s">
        <v>634</v>
      </c>
      <c r="C1654" s="706"/>
      <c r="D1654" s="706"/>
      <c r="E1654" s="706"/>
      <c r="F1654" s="706"/>
      <c r="G1654" s="706"/>
      <c r="H1654" s="706"/>
    </row>
    <row r="1655" spans="1:8" ht="31.5">
      <c r="A1655" s="608" t="s">
        <v>321</v>
      </c>
      <c r="B1655" s="612" t="s">
        <v>635</v>
      </c>
      <c r="C1655" s="610" t="s">
        <v>710</v>
      </c>
      <c r="D1655" s="610" t="s">
        <v>711</v>
      </c>
      <c r="E1655" s="610" t="s">
        <v>379</v>
      </c>
      <c r="F1655" s="610" t="s">
        <v>379</v>
      </c>
      <c r="G1655" s="614">
        <v>0</v>
      </c>
      <c r="H1655" s="611"/>
    </row>
    <row r="1656" spans="1:8" ht="47.25">
      <c r="A1656" s="608" t="s">
        <v>325</v>
      </c>
      <c r="B1656" s="612" t="s">
        <v>638</v>
      </c>
      <c r="C1656" s="610" t="s">
        <v>379</v>
      </c>
      <c r="D1656" s="610" t="s">
        <v>379</v>
      </c>
      <c r="E1656" s="610" t="s">
        <v>379</v>
      </c>
      <c r="F1656" s="610" t="s">
        <v>379</v>
      </c>
      <c r="G1656" s="610" t="s">
        <v>379</v>
      </c>
      <c r="H1656" s="611" t="s">
        <v>626</v>
      </c>
    </row>
    <row r="1657" spans="1:8" ht="31.5">
      <c r="A1657" s="608" t="s">
        <v>639</v>
      </c>
      <c r="B1657" s="612" t="s">
        <v>640</v>
      </c>
      <c r="C1657" s="610" t="s">
        <v>379</v>
      </c>
      <c r="D1657" s="610" t="s">
        <v>379</v>
      </c>
      <c r="E1657" s="610" t="s">
        <v>379</v>
      </c>
      <c r="F1657" s="610" t="s">
        <v>379</v>
      </c>
      <c r="G1657" s="610" t="s">
        <v>379</v>
      </c>
      <c r="H1657" s="611" t="s">
        <v>626</v>
      </c>
    </row>
    <row r="1658" spans="1:8" ht="12.75" customHeight="1">
      <c r="A1658" s="608">
        <v>3</v>
      </c>
      <c r="B1658" s="706" t="s">
        <v>641</v>
      </c>
      <c r="C1658" s="706"/>
      <c r="D1658" s="706"/>
      <c r="E1658" s="706"/>
      <c r="F1658" s="706"/>
      <c r="G1658" s="706"/>
      <c r="H1658" s="706"/>
    </row>
    <row r="1659" spans="1:8" ht="31.5">
      <c r="A1659" s="608" t="s">
        <v>378</v>
      </c>
      <c r="B1659" s="613" t="s">
        <v>642</v>
      </c>
      <c r="C1659" s="610" t="s">
        <v>379</v>
      </c>
      <c r="D1659" s="610" t="s">
        <v>379</v>
      </c>
      <c r="E1659" s="610" t="s">
        <v>379</v>
      </c>
      <c r="F1659" s="610" t="s">
        <v>379</v>
      </c>
      <c r="G1659" s="610" t="s">
        <v>379</v>
      </c>
      <c r="H1659" s="611" t="s">
        <v>626</v>
      </c>
    </row>
    <row r="1660" spans="1:8" ht="15.75">
      <c r="A1660" s="608" t="s">
        <v>643</v>
      </c>
      <c r="B1660" s="613" t="s">
        <v>644</v>
      </c>
      <c r="C1660" s="610" t="s">
        <v>710</v>
      </c>
      <c r="D1660" s="610" t="s">
        <v>712</v>
      </c>
      <c r="E1660" s="610" t="s">
        <v>379</v>
      </c>
      <c r="F1660" s="610" t="s">
        <v>379</v>
      </c>
      <c r="G1660" s="614">
        <v>0</v>
      </c>
      <c r="H1660" s="611"/>
    </row>
    <row r="1661" spans="1:8" ht="15.75">
      <c r="A1661" s="608" t="s">
        <v>380</v>
      </c>
      <c r="B1661" s="613" t="s">
        <v>646</v>
      </c>
      <c r="C1661" s="610" t="s">
        <v>713</v>
      </c>
      <c r="D1661" s="610" t="s">
        <v>714</v>
      </c>
      <c r="E1661" s="610" t="s">
        <v>379</v>
      </c>
      <c r="F1661" s="610" t="s">
        <v>379</v>
      </c>
      <c r="G1661" s="614">
        <v>0</v>
      </c>
      <c r="H1661" s="611"/>
    </row>
    <row r="1662" spans="1:8" ht="15.75">
      <c r="A1662" s="608" t="s">
        <v>649</v>
      </c>
      <c r="B1662" s="613" t="s">
        <v>650</v>
      </c>
      <c r="C1662" s="610" t="s">
        <v>715</v>
      </c>
      <c r="D1662" s="610" t="s">
        <v>716</v>
      </c>
      <c r="E1662" s="610" t="s">
        <v>379</v>
      </c>
      <c r="F1662" s="610" t="s">
        <v>379</v>
      </c>
      <c r="G1662" s="614">
        <v>0</v>
      </c>
      <c r="H1662" s="611"/>
    </row>
    <row r="1663" spans="1:8" ht="15.75">
      <c r="A1663" s="608" t="s">
        <v>653</v>
      </c>
      <c r="B1663" s="613" t="s">
        <v>654</v>
      </c>
      <c r="C1663" s="610" t="s">
        <v>717</v>
      </c>
      <c r="D1663" s="610" t="s">
        <v>711</v>
      </c>
      <c r="E1663" s="610" t="s">
        <v>379</v>
      </c>
      <c r="F1663" s="610" t="s">
        <v>379</v>
      </c>
      <c r="G1663" s="614">
        <v>0</v>
      </c>
      <c r="H1663" s="611"/>
    </row>
    <row r="1664" spans="1:8" ht="12.75" customHeight="1">
      <c r="A1664" s="608">
        <v>4</v>
      </c>
      <c r="B1664" s="706" t="s">
        <v>656</v>
      </c>
      <c r="C1664" s="706"/>
      <c r="D1664" s="706"/>
      <c r="E1664" s="706"/>
      <c r="F1664" s="706"/>
      <c r="G1664" s="706"/>
      <c r="H1664" s="706"/>
    </row>
    <row r="1665" spans="1:8" ht="31.5">
      <c r="A1665" s="608" t="s">
        <v>657</v>
      </c>
      <c r="B1665" s="612" t="s">
        <v>658</v>
      </c>
      <c r="C1665" s="610" t="s">
        <v>379</v>
      </c>
      <c r="D1665" s="610" t="s">
        <v>379</v>
      </c>
      <c r="E1665" s="610" t="s">
        <v>379</v>
      </c>
      <c r="F1665" s="610" t="s">
        <v>379</v>
      </c>
      <c r="G1665" s="610" t="s">
        <v>379</v>
      </c>
      <c r="H1665" s="611" t="s">
        <v>626</v>
      </c>
    </row>
    <row r="1666" spans="1:8" ht="47.25">
      <c r="A1666" s="608" t="s">
        <v>659</v>
      </c>
      <c r="B1666" s="612" t="s">
        <v>660</v>
      </c>
      <c r="C1666" s="610" t="s">
        <v>379</v>
      </c>
      <c r="D1666" s="610" t="s">
        <v>379</v>
      </c>
      <c r="E1666" s="610" t="s">
        <v>379</v>
      </c>
      <c r="F1666" s="610" t="s">
        <v>379</v>
      </c>
      <c r="G1666" s="610" t="s">
        <v>379</v>
      </c>
      <c r="H1666" s="611" t="s">
        <v>626</v>
      </c>
    </row>
    <row r="1667" spans="1:8" ht="31.5">
      <c r="A1667" s="608" t="s">
        <v>661</v>
      </c>
      <c r="B1667" s="613" t="s">
        <v>662</v>
      </c>
      <c r="C1667" s="610" t="s">
        <v>379</v>
      </c>
      <c r="D1667" s="610" t="s">
        <v>379</v>
      </c>
      <c r="E1667" s="610" t="s">
        <v>379</v>
      </c>
      <c r="F1667" s="610" t="s">
        <v>379</v>
      </c>
      <c r="G1667" s="610" t="s">
        <v>379</v>
      </c>
      <c r="H1667" s="611" t="s">
        <v>626</v>
      </c>
    </row>
    <row r="1668" spans="1:8" ht="31.5">
      <c r="A1668" s="615" t="s">
        <v>663</v>
      </c>
      <c r="B1668" s="616" t="s">
        <v>664</v>
      </c>
      <c r="C1668" s="617" t="s">
        <v>379</v>
      </c>
      <c r="D1668" s="617" t="s">
        <v>379</v>
      </c>
      <c r="E1668" s="617" t="s">
        <v>379</v>
      </c>
      <c r="F1668" s="617" t="s">
        <v>379</v>
      </c>
      <c r="G1668" s="617" t="s">
        <v>379</v>
      </c>
      <c r="H1668" s="618" t="s">
        <v>626</v>
      </c>
    </row>
    <row r="1669" spans="1:8" ht="15.75">
      <c r="A1669" s="619"/>
      <c r="B1669" s="620"/>
      <c r="C1669" s="621"/>
      <c r="D1669" s="621"/>
      <c r="E1669" s="621"/>
      <c r="F1669" s="621"/>
      <c r="G1669" s="621"/>
      <c r="H1669" s="148"/>
    </row>
    <row r="1670" spans="1:8" ht="12.75" customHeight="1">
      <c r="A1670" s="707" t="s">
        <v>665</v>
      </c>
      <c r="B1670" s="707"/>
      <c r="C1670" s="707"/>
      <c r="D1670" s="707"/>
      <c r="E1670" s="707"/>
      <c r="F1670" s="707"/>
      <c r="G1670" s="707"/>
      <c r="H1670" s="707"/>
    </row>
    <row r="1674" ht="15.75">
      <c r="H1674" s="11" t="s">
        <v>609</v>
      </c>
    </row>
    <row r="1675" ht="15.75">
      <c r="H1675" s="11" t="s">
        <v>610</v>
      </c>
    </row>
    <row r="1676" ht="15.75">
      <c r="H1676" s="11" t="s">
        <v>611</v>
      </c>
    </row>
    <row r="1677" ht="15.75">
      <c r="H1677" s="11"/>
    </row>
    <row r="1678" spans="1:8" ht="12.75" customHeight="1">
      <c r="A1678" s="713" t="s">
        <v>612</v>
      </c>
      <c r="B1678" s="713"/>
      <c r="C1678" s="713"/>
      <c r="D1678" s="713"/>
      <c r="E1678" s="713"/>
      <c r="F1678" s="713"/>
      <c r="G1678" s="713"/>
      <c r="H1678" s="713"/>
    </row>
    <row r="1679" spans="1:8" ht="12.75" customHeight="1">
      <c r="A1679" s="713" t="s">
        <v>613</v>
      </c>
      <c r="B1679" s="713"/>
      <c r="C1679" s="713"/>
      <c r="D1679" s="713"/>
      <c r="E1679" s="713"/>
      <c r="F1679" s="713"/>
      <c r="G1679" s="713"/>
      <c r="H1679" s="713"/>
    </row>
    <row r="1680" ht="15.75">
      <c r="H1680" s="11" t="s">
        <v>43</v>
      </c>
    </row>
    <row r="1681" ht="15.75">
      <c r="H1681" s="11" t="s">
        <v>44</v>
      </c>
    </row>
    <row r="1682" ht="15.75">
      <c r="H1682" s="11" t="s">
        <v>45</v>
      </c>
    </row>
    <row r="1683" ht="15.75">
      <c r="H1683" s="594" t="s">
        <v>614</v>
      </c>
    </row>
    <row r="1684" ht="15.75">
      <c r="H1684" s="11" t="s">
        <v>615</v>
      </c>
    </row>
    <row r="1685" ht="15.75">
      <c r="H1685" s="11" t="s">
        <v>47</v>
      </c>
    </row>
    <row r="1686" ht="15.75">
      <c r="A1686" s="595"/>
    </row>
    <row r="1687" ht="15.75">
      <c r="A1687" s="3" t="s">
        <v>754</v>
      </c>
    </row>
    <row r="1688" spans="1:8" ht="12.75" customHeight="1">
      <c r="A1688" s="717" t="s">
        <v>0</v>
      </c>
      <c r="B1688" s="714"/>
      <c r="C1688" s="714"/>
      <c r="D1688" s="714"/>
      <c r="E1688" s="714"/>
      <c r="F1688" s="714"/>
      <c r="G1688" s="714"/>
      <c r="H1688" s="714"/>
    </row>
    <row r="1689" spans="1:8" ht="16.5" thickBot="1">
      <c r="A1689" s="597"/>
      <c r="B1689" s="597"/>
      <c r="C1689" s="598"/>
      <c r="D1689" s="598"/>
      <c r="E1689" s="598"/>
      <c r="F1689" s="598"/>
      <c r="G1689" s="598"/>
      <c r="H1689" s="598"/>
    </row>
    <row r="1690" spans="1:8" ht="12.75" customHeight="1">
      <c r="A1690" s="708" t="s">
        <v>617</v>
      </c>
      <c r="B1690" s="710" t="s">
        <v>618</v>
      </c>
      <c r="C1690" s="711" t="s">
        <v>619</v>
      </c>
      <c r="D1690" s="711"/>
      <c r="E1690" s="711"/>
      <c r="F1690" s="711"/>
      <c r="G1690" s="712" t="s">
        <v>620</v>
      </c>
      <c r="H1690" s="708" t="s">
        <v>621</v>
      </c>
    </row>
    <row r="1691" spans="1:8" ht="15.75">
      <c r="A1691" s="708"/>
      <c r="B1691" s="710"/>
      <c r="C1691" s="711"/>
      <c r="D1691" s="711"/>
      <c r="E1691" s="711"/>
      <c r="F1691" s="711"/>
      <c r="G1691" s="712"/>
      <c r="H1691" s="708"/>
    </row>
    <row r="1692" spans="1:8" ht="31.5">
      <c r="A1692" s="708"/>
      <c r="B1692" s="710"/>
      <c r="C1692" s="601" t="s">
        <v>622</v>
      </c>
      <c r="D1692" s="601" t="s">
        <v>623</v>
      </c>
      <c r="E1692" s="602" t="s">
        <v>622</v>
      </c>
      <c r="F1692" s="603" t="s">
        <v>623</v>
      </c>
      <c r="G1692" s="712"/>
      <c r="H1692" s="708"/>
    </row>
    <row r="1693" spans="1:8" ht="15.75">
      <c r="A1693" s="599">
        <v>1</v>
      </c>
      <c r="B1693" s="599">
        <v>2</v>
      </c>
      <c r="C1693" s="604">
        <v>3</v>
      </c>
      <c r="D1693" s="604">
        <v>4</v>
      </c>
      <c r="E1693" s="605"/>
      <c r="F1693" s="606"/>
      <c r="G1693" s="600">
        <v>5</v>
      </c>
      <c r="H1693" s="599">
        <v>6</v>
      </c>
    </row>
    <row r="1694" spans="1:8" ht="12.75" customHeight="1">
      <c r="A1694" s="607">
        <v>1</v>
      </c>
      <c r="B1694" s="709" t="s">
        <v>624</v>
      </c>
      <c r="C1694" s="709"/>
      <c r="D1694" s="709"/>
      <c r="E1694" s="709"/>
      <c r="F1694" s="709"/>
      <c r="G1694" s="709"/>
      <c r="H1694" s="709"/>
    </row>
    <row r="1695" spans="1:8" ht="15.75">
      <c r="A1695" s="608" t="s">
        <v>74</v>
      </c>
      <c r="B1695" s="609" t="s">
        <v>625</v>
      </c>
      <c r="C1695" s="610" t="s">
        <v>379</v>
      </c>
      <c r="D1695" s="610" t="s">
        <v>379</v>
      </c>
      <c r="E1695" s="610" t="s">
        <v>379</v>
      </c>
      <c r="F1695" s="610" t="s">
        <v>379</v>
      </c>
      <c r="G1695" s="610" t="s">
        <v>379</v>
      </c>
      <c r="H1695" s="611" t="s">
        <v>626</v>
      </c>
    </row>
    <row r="1696" spans="1:8" ht="15.75">
      <c r="A1696" s="608" t="s">
        <v>313</v>
      </c>
      <c r="B1696" s="609" t="s">
        <v>627</v>
      </c>
      <c r="C1696" s="610" t="s">
        <v>379</v>
      </c>
      <c r="D1696" s="610" t="s">
        <v>379</v>
      </c>
      <c r="E1696" s="610" t="s">
        <v>379</v>
      </c>
      <c r="F1696" s="610" t="s">
        <v>379</v>
      </c>
      <c r="G1696" s="610" t="s">
        <v>379</v>
      </c>
      <c r="H1696" s="611" t="s">
        <v>626</v>
      </c>
    </row>
    <row r="1697" spans="1:8" ht="31.5">
      <c r="A1697" s="608" t="s">
        <v>315</v>
      </c>
      <c r="B1697" s="612" t="s">
        <v>628</v>
      </c>
      <c r="C1697" s="610" t="s">
        <v>379</v>
      </c>
      <c r="D1697" s="610" t="s">
        <v>379</v>
      </c>
      <c r="E1697" s="610" t="s">
        <v>379</v>
      </c>
      <c r="F1697" s="610" t="s">
        <v>379</v>
      </c>
      <c r="G1697" s="610" t="s">
        <v>379</v>
      </c>
      <c r="H1697" s="611" t="s">
        <v>626</v>
      </c>
    </row>
    <row r="1698" spans="1:8" ht="47.25">
      <c r="A1698" s="608" t="s">
        <v>317</v>
      </c>
      <c r="B1698" s="612" t="s">
        <v>629</v>
      </c>
      <c r="C1698" s="610" t="s">
        <v>379</v>
      </c>
      <c r="D1698" s="610" t="s">
        <v>379</v>
      </c>
      <c r="E1698" s="610" t="s">
        <v>379</v>
      </c>
      <c r="F1698" s="610" t="s">
        <v>379</v>
      </c>
      <c r="G1698" s="610" t="s">
        <v>379</v>
      </c>
      <c r="H1698" s="611" t="s">
        <v>626</v>
      </c>
    </row>
    <row r="1699" spans="1:8" ht="15.75">
      <c r="A1699" s="608" t="s">
        <v>630</v>
      </c>
      <c r="B1699" s="613" t="s">
        <v>631</v>
      </c>
      <c r="C1699" s="610" t="s">
        <v>379</v>
      </c>
      <c r="D1699" s="610" t="s">
        <v>379</v>
      </c>
      <c r="E1699" s="610" t="s">
        <v>379</v>
      </c>
      <c r="F1699" s="610" t="s">
        <v>379</v>
      </c>
      <c r="G1699" s="610" t="s">
        <v>379</v>
      </c>
      <c r="H1699" s="611" t="s">
        <v>626</v>
      </c>
    </row>
    <row r="1700" spans="1:8" ht="15.75">
      <c r="A1700" s="608" t="s">
        <v>632</v>
      </c>
      <c r="B1700" s="613" t="s">
        <v>633</v>
      </c>
      <c r="C1700" s="610" t="s">
        <v>379</v>
      </c>
      <c r="D1700" s="610" t="s">
        <v>379</v>
      </c>
      <c r="E1700" s="610" t="s">
        <v>379</v>
      </c>
      <c r="F1700" s="610" t="s">
        <v>379</v>
      </c>
      <c r="G1700" s="610" t="s">
        <v>379</v>
      </c>
      <c r="H1700" s="611" t="s">
        <v>626</v>
      </c>
    </row>
    <row r="1701" spans="1:8" ht="12.75" customHeight="1">
      <c r="A1701" s="608">
        <v>2</v>
      </c>
      <c r="B1701" s="706" t="s">
        <v>634</v>
      </c>
      <c r="C1701" s="706"/>
      <c r="D1701" s="706"/>
      <c r="E1701" s="706"/>
      <c r="F1701" s="706"/>
      <c r="G1701" s="706"/>
      <c r="H1701" s="706"/>
    </row>
    <row r="1702" spans="1:8" ht="31.5">
      <c r="A1702" s="608" t="s">
        <v>321</v>
      </c>
      <c r="B1702" s="612" t="s">
        <v>635</v>
      </c>
      <c r="C1702" s="610" t="s">
        <v>710</v>
      </c>
      <c r="D1702" s="610" t="s">
        <v>755</v>
      </c>
      <c r="E1702" s="610" t="s">
        <v>379</v>
      </c>
      <c r="F1702" s="610" t="s">
        <v>379</v>
      </c>
      <c r="G1702" s="614">
        <v>0</v>
      </c>
      <c r="H1702" s="611"/>
    </row>
    <row r="1703" spans="1:8" ht="47.25">
      <c r="A1703" s="608" t="s">
        <v>325</v>
      </c>
      <c r="B1703" s="612" t="s">
        <v>638</v>
      </c>
      <c r="C1703" s="610" t="s">
        <v>379</v>
      </c>
      <c r="D1703" s="610" t="s">
        <v>379</v>
      </c>
      <c r="E1703" s="610" t="s">
        <v>379</v>
      </c>
      <c r="F1703" s="610" t="s">
        <v>379</v>
      </c>
      <c r="G1703" s="610" t="s">
        <v>379</v>
      </c>
      <c r="H1703" s="611" t="s">
        <v>626</v>
      </c>
    </row>
    <row r="1704" spans="1:8" ht="31.5">
      <c r="A1704" s="608" t="s">
        <v>639</v>
      </c>
      <c r="B1704" s="612" t="s">
        <v>640</v>
      </c>
      <c r="C1704" s="610" t="s">
        <v>379</v>
      </c>
      <c r="D1704" s="610" t="s">
        <v>379</v>
      </c>
      <c r="E1704" s="610" t="s">
        <v>379</v>
      </c>
      <c r="F1704" s="610" t="s">
        <v>379</v>
      </c>
      <c r="G1704" s="610" t="s">
        <v>379</v>
      </c>
      <c r="H1704" s="611" t="s">
        <v>626</v>
      </c>
    </row>
    <row r="1705" spans="1:8" ht="12.75" customHeight="1">
      <c r="A1705" s="608">
        <v>3</v>
      </c>
      <c r="B1705" s="706" t="s">
        <v>641</v>
      </c>
      <c r="C1705" s="706"/>
      <c r="D1705" s="706"/>
      <c r="E1705" s="706"/>
      <c r="F1705" s="706"/>
      <c r="G1705" s="706"/>
      <c r="H1705" s="706"/>
    </row>
    <row r="1706" spans="1:8" ht="31.5">
      <c r="A1706" s="608" t="s">
        <v>378</v>
      </c>
      <c r="B1706" s="613" t="s">
        <v>642</v>
      </c>
      <c r="C1706" s="610" t="s">
        <v>379</v>
      </c>
      <c r="D1706" s="610" t="s">
        <v>379</v>
      </c>
      <c r="E1706" s="610" t="s">
        <v>379</v>
      </c>
      <c r="F1706" s="610" t="s">
        <v>379</v>
      </c>
      <c r="G1706" s="610" t="s">
        <v>379</v>
      </c>
      <c r="H1706" s="611" t="s">
        <v>626</v>
      </c>
    </row>
    <row r="1707" spans="1:8" ht="15.75">
      <c r="A1707" s="608" t="s">
        <v>643</v>
      </c>
      <c r="B1707" s="613" t="s">
        <v>644</v>
      </c>
      <c r="C1707" s="610" t="s">
        <v>710</v>
      </c>
      <c r="D1707" s="610" t="s">
        <v>756</v>
      </c>
      <c r="E1707" s="610" t="s">
        <v>379</v>
      </c>
      <c r="F1707" s="610" t="s">
        <v>379</v>
      </c>
      <c r="G1707" s="614">
        <v>0</v>
      </c>
      <c r="H1707" s="611"/>
    </row>
    <row r="1708" spans="1:8" ht="15.75">
      <c r="A1708" s="608" t="s">
        <v>380</v>
      </c>
      <c r="B1708" s="613" t="s">
        <v>646</v>
      </c>
      <c r="C1708" s="610" t="s">
        <v>713</v>
      </c>
      <c r="D1708" s="610" t="s">
        <v>757</v>
      </c>
      <c r="E1708" s="610" t="s">
        <v>379</v>
      </c>
      <c r="F1708" s="610" t="s">
        <v>379</v>
      </c>
      <c r="G1708" s="614">
        <v>0</v>
      </c>
      <c r="H1708" s="611"/>
    </row>
    <row r="1709" spans="1:8" ht="15.75">
      <c r="A1709" s="608" t="s">
        <v>649</v>
      </c>
      <c r="B1709" s="613" t="s">
        <v>650</v>
      </c>
      <c r="C1709" s="610" t="s">
        <v>715</v>
      </c>
      <c r="D1709" s="610" t="s">
        <v>758</v>
      </c>
      <c r="E1709" s="610" t="s">
        <v>379</v>
      </c>
      <c r="F1709" s="610" t="s">
        <v>379</v>
      </c>
      <c r="G1709" s="614">
        <v>0</v>
      </c>
      <c r="H1709" s="611"/>
    </row>
    <row r="1710" spans="1:8" ht="15.75">
      <c r="A1710" s="608" t="s">
        <v>653</v>
      </c>
      <c r="B1710" s="613" t="s">
        <v>654</v>
      </c>
      <c r="C1710" s="610" t="s">
        <v>759</v>
      </c>
      <c r="D1710" s="610" t="s">
        <v>755</v>
      </c>
      <c r="E1710" s="610" t="s">
        <v>379</v>
      </c>
      <c r="F1710" s="610" t="s">
        <v>379</v>
      </c>
      <c r="G1710" s="614">
        <v>0</v>
      </c>
      <c r="H1710" s="611"/>
    </row>
    <row r="1711" spans="1:8" ht="12.75" customHeight="1">
      <c r="A1711" s="608">
        <v>4</v>
      </c>
      <c r="B1711" s="706" t="s">
        <v>656</v>
      </c>
      <c r="C1711" s="706"/>
      <c r="D1711" s="706"/>
      <c r="E1711" s="706"/>
      <c r="F1711" s="706"/>
      <c r="G1711" s="706"/>
      <c r="H1711" s="706"/>
    </row>
    <row r="1712" spans="1:8" ht="31.5">
      <c r="A1712" s="608" t="s">
        <v>657</v>
      </c>
      <c r="B1712" s="612" t="s">
        <v>658</v>
      </c>
      <c r="C1712" s="610" t="s">
        <v>379</v>
      </c>
      <c r="D1712" s="610" t="s">
        <v>379</v>
      </c>
      <c r="E1712" s="610" t="s">
        <v>379</v>
      </c>
      <c r="F1712" s="610" t="s">
        <v>379</v>
      </c>
      <c r="G1712" s="610" t="s">
        <v>379</v>
      </c>
      <c r="H1712" s="611" t="s">
        <v>626</v>
      </c>
    </row>
    <row r="1713" spans="1:8" ht="47.25">
      <c r="A1713" s="608" t="s">
        <v>659</v>
      </c>
      <c r="B1713" s="612" t="s">
        <v>660</v>
      </c>
      <c r="C1713" s="610" t="s">
        <v>379</v>
      </c>
      <c r="D1713" s="610" t="s">
        <v>379</v>
      </c>
      <c r="E1713" s="610" t="s">
        <v>379</v>
      </c>
      <c r="F1713" s="610" t="s">
        <v>379</v>
      </c>
      <c r="G1713" s="610" t="s">
        <v>379</v>
      </c>
      <c r="H1713" s="611" t="s">
        <v>626</v>
      </c>
    </row>
    <row r="1714" spans="1:8" ht="31.5">
      <c r="A1714" s="608" t="s">
        <v>661</v>
      </c>
      <c r="B1714" s="613" t="s">
        <v>662</v>
      </c>
      <c r="C1714" s="610" t="s">
        <v>379</v>
      </c>
      <c r="D1714" s="610" t="s">
        <v>379</v>
      </c>
      <c r="E1714" s="610" t="s">
        <v>379</v>
      </c>
      <c r="F1714" s="610" t="s">
        <v>379</v>
      </c>
      <c r="G1714" s="610" t="s">
        <v>379</v>
      </c>
      <c r="H1714" s="611" t="s">
        <v>626</v>
      </c>
    </row>
    <row r="1715" spans="1:8" ht="31.5">
      <c r="A1715" s="615" t="s">
        <v>663</v>
      </c>
      <c r="B1715" s="616" t="s">
        <v>664</v>
      </c>
      <c r="C1715" s="617" t="s">
        <v>379</v>
      </c>
      <c r="D1715" s="617" t="s">
        <v>379</v>
      </c>
      <c r="E1715" s="617" t="s">
        <v>379</v>
      </c>
      <c r="F1715" s="617" t="s">
        <v>379</v>
      </c>
      <c r="G1715" s="617" t="s">
        <v>379</v>
      </c>
      <c r="H1715" s="618" t="s">
        <v>626</v>
      </c>
    </row>
    <row r="1716" spans="1:8" ht="15.75">
      <c r="A1716" s="619"/>
      <c r="B1716" s="620"/>
      <c r="C1716" s="621"/>
      <c r="D1716" s="621"/>
      <c r="E1716" s="621"/>
      <c r="F1716" s="621"/>
      <c r="G1716" s="621"/>
      <c r="H1716" s="148"/>
    </row>
    <row r="1717" spans="1:8" ht="12.75" customHeight="1">
      <c r="A1717" s="707" t="s">
        <v>665</v>
      </c>
      <c r="B1717" s="707"/>
      <c r="C1717" s="707"/>
      <c r="D1717" s="707"/>
      <c r="E1717" s="707"/>
      <c r="F1717" s="707"/>
      <c r="G1717" s="707"/>
      <c r="H1717" s="707"/>
    </row>
    <row r="1723" ht="15.75">
      <c r="H1723" s="11" t="s">
        <v>609</v>
      </c>
    </row>
    <row r="1724" ht="15.75">
      <c r="H1724" s="11" t="s">
        <v>610</v>
      </c>
    </row>
    <row r="1725" ht="15.75">
      <c r="H1725" s="11" t="s">
        <v>611</v>
      </c>
    </row>
    <row r="1726" ht="15.75">
      <c r="H1726" s="11"/>
    </row>
    <row r="1727" spans="1:8" ht="12.75" customHeight="1">
      <c r="A1727" s="713" t="s">
        <v>612</v>
      </c>
      <c r="B1727" s="713"/>
      <c r="C1727" s="713"/>
      <c r="D1727" s="713"/>
      <c r="E1727" s="713"/>
      <c r="F1727" s="713"/>
      <c r="G1727" s="713"/>
      <c r="H1727" s="713"/>
    </row>
    <row r="1728" spans="1:8" ht="12.75" customHeight="1">
      <c r="A1728" s="713" t="s">
        <v>613</v>
      </c>
      <c r="B1728" s="713"/>
      <c r="C1728" s="713"/>
      <c r="D1728" s="713"/>
      <c r="E1728" s="713"/>
      <c r="F1728" s="713"/>
      <c r="G1728" s="713"/>
      <c r="H1728" s="713"/>
    </row>
    <row r="1729" ht="15.75">
      <c r="H1729" s="11" t="s">
        <v>43</v>
      </c>
    </row>
    <row r="1730" ht="15.75">
      <c r="H1730" s="11" t="s">
        <v>44</v>
      </c>
    </row>
    <row r="1731" ht="15.75">
      <c r="H1731" s="11" t="s">
        <v>45</v>
      </c>
    </row>
    <row r="1732" ht="15.75">
      <c r="H1732" s="594" t="s">
        <v>614</v>
      </c>
    </row>
    <row r="1733" ht="15.75">
      <c r="H1733" s="11" t="s">
        <v>615</v>
      </c>
    </row>
    <row r="1734" ht="15.75">
      <c r="H1734" s="11" t="s">
        <v>47</v>
      </c>
    </row>
    <row r="1735" ht="15.75">
      <c r="A1735" s="595"/>
    </row>
    <row r="1736" ht="15.75">
      <c r="A1736" s="3" t="s">
        <v>760</v>
      </c>
    </row>
    <row r="1737" spans="1:8" ht="12.75" customHeight="1">
      <c r="A1737" s="717" t="s">
        <v>0</v>
      </c>
      <c r="B1737" s="714"/>
      <c r="C1737" s="714"/>
      <c r="D1737" s="714"/>
      <c r="E1737" s="714"/>
      <c r="F1737" s="714"/>
      <c r="G1737" s="714"/>
      <c r="H1737" s="714"/>
    </row>
    <row r="1738" spans="1:8" ht="16.5" thickBot="1">
      <c r="A1738" s="597"/>
      <c r="B1738" s="597"/>
      <c r="C1738" s="598"/>
      <c r="D1738" s="598"/>
      <c r="E1738" s="598"/>
      <c r="F1738" s="598"/>
      <c r="G1738" s="598"/>
      <c r="H1738" s="598"/>
    </row>
    <row r="1739" spans="1:8" ht="12.75" customHeight="1">
      <c r="A1739" s="708" t="s">
        <v>617</v>
      </c>
      <c r="B1739" s="710" t="s">
        <v>618</v>
      </c>
      <c r="C1739" s="711" t="s">
        <v>619</v>
      </c>
      <c r="D1739" s="711"/>
      <c r="E1739" s="711"/>
      <c r="F1739" s="711"/>
      <c r="G1739" s="712" t="s">
        <v>620</v>
      </c>
      <c r="H1739" s="708" t="s">
        <v>621</v>
      </c>
    </row>
    <row r="1740" spans="1:8" ht="15.75">
      <c r="A1740" s="708"/>
      <c r="B1740" s="710"/>
      <c r="C1740" s="711"/>
      <c r="D1740" s="711"/>
      <c r="E1740" s="711"/>
      <c r="F1740" s="711"/>
      <c r="G1740" s="712"/>
      <c r="H1740" s="708"/>
    </row>
    <row r="1741" spans="1:8" ht="31.5">
      <c r="A1741" s="708"/>
      <c r="B1741" s="710"/>
      <c r="C1741" s="601" t="s">
        <v>622</v>
      </c>
      <c r="D1741" s="601" t="s">
        <v>623</v>
      </c>
      <c r="E1741" s="602" t="s">
        <v>622</v>
      </c>
      <c r="F1741" s="603" t="s">
        <v>623</v>
      </c>
      <c r="G1741" s="712"/>
      <c r="H1741" s="708"/>
    </row>
    <row r="1742" spans="1:8" ht="15.75">
      <c r="A1742" s="599">
        <v>1</v>
      </c>
      <c r="B1742" s="599">
        <v>2</v>
      </c>
      <c r="C1742" s="604">
        <v>3</v>
      </c>
      <c r="D1742" s="604">
        <v>4</v>
      </c>
      <c r="E1742" s="605"/>
      <c r="F1742" s="606"/>
      <c r="G1742" s="600">
        <v>5</v>
      </c>
      <c r="H1742" s="599">
        <v>6</v>
      </c>
    </row>
    <row r="1743" spans="1:8" ht="12.75" customHeight="1">
      <c r="A1743" s="607">
        <v>1</v>
      </c>
      <c r="B1743" s="709" t="s">
        <v>624</v>
      </c>
      <c r="C1743" s="709"/>
      <c r="D1743" s="709"/>
      <c r="E1743" s="709"/>
      <c r="F1743" s="709"/>
      <c r="G1743" s="709"/>
      <c r="H1743" s="709"/>
    </row>
    <row r="1744" spans="1:8" ht="15.75">
      <c r="A1744" s="608" t="s">
        <v>74</v>
      </c>
      <c r="B1744" s="609" t="s">
        <v>625</v>
      </c>
      <c r="C1744" s="610" t="s">
        <v>379</v>
      </c>
      <c r="D1744" s="610" t="s">
        <v>379</v>
      </c>
      <c r="E1744" s="610" t="s">
        <v>379</v>
      </c>
      <c r="F1744" s="610" t="s">
        <v>379</v>
      </c>
      <c r="G1744" s="610" t="s">
        <v>379</v>
      </c>
      <c r="H1744" s="611" t="s">
        <v>626</v>
      </c>
    </row>
    <row r="1745" spans="1:8" ht="15.75">
      <c r="A1745" s="608" t="s">
        <v>313</v>
      </c>
      <c r="B1745" s="609" t="s">
        <v>627</v>
      </c>
      <c r="C1745" s="610" t="s">
        <v>379</v>
      </c>
      <c r="D1745" s="610" t="s">
        <v>379</v>
      </c>
      <c r="E1745" s="610" t="s">
        <v>379</v>
      </c>
      <c r="F1745" s="610" t="s">
        <v>379</v>
      </c>
      <c r="G1745" s="610" t="s">
        <v>379</v>
      </c>
      <c r="H1745" s="611" t="s">
        <v>626</v>
      </c>
    </row>
    <row r="1746" spans="1:8" ht="31.5">
      <c r="A1746" s="608" t="s">
        <v>315</v>
      </c>
      <c r="B1746" s="612" t="s">
        <v>628</v>
      </c>
      <c r="C1746" s="610" t="s">
        <v>379</v>
      </c>
      <c r="D1746" s="610" t="s">
        <v>379</v>
      </c>
      <c r="E1746" s="610" t="s">
        <v>379</v>
      </c>
      <c r="F1746" s="610" t="s">
        <v>379</v>
      </c>
      <c r="G1746" s="610" t="s">
        <v>379</v>
      </c>
      <c r="H1746" s="611" t="s">
        <v>626</v>
      </c>
    </row>
    <row r="1747" spans="1:8" ht="47.25">
      <c r="A1747" s="608" t="s">
        <v>317</v>
      </c>
      <c r="B1747" s="612" t="s">
        <v>629</v>
      </c>
      <c r="C1747" s="610" t="s">
        <v>379</v>
      </c>
      <c r="D1747" s="610" t="s">
        <v>379</v>
      </c>
      <c r="E1747" s="610" t="s">
        <v>379</v>
      </c>
      <c r="F1747" s="610" t="s">
        <v>379</v>
      </c>
      <c r="G1747" s="610" t="s">
        <v>379</v>
      </c>
      <c r="H1747" s="611" t="s">
        <v>626</v>
      </c>
    </row>
    <row r="1748" spans="1:8" ht="15.75">
      <c r="A1748" s="608" t="s">
        <v>630</v>
      </c>
      <c r="B1748" s="613" t="s">
        <v>631</v>
      </c>
      <c r="C1748" s="610" t="s">
        <v>379</v>
      </c>
      <c r="D1748" s="610" t="s">
        <v>379</v>
      </c>
      <c r="E1748" s="610" t="s">
        <v>379</v>
      </c>
      <c r="F1748" s="610" t="s">
        <v>379</v>
      </c>
      <c r="G1748" s="610" t="s">
        <v>379</v>
      </c>
      <c r="H1748" s="611" t="s">
        <v>626</v>
      </c>
    </row>
    <row r="1749" spans="1:8" ht="15.75">
      <c r="A1749" s="608" t="s">
        <v>632</v>
      </c>
      <c r="B1749" s="613" t="s">
        <v>633</v>
      </c>
      <c r="C1749" s="610" t="s">
        <v>379</v>
      </c>
      <c r="D1749" s="610" t="s">
        <v>379</v>
      </c>
      <c r="E1749" s="610" t="s">
        <v>379</v>
      </c>
      <c r="F1749" s="610" t="s">
        <v>379</v>
      </c>
      <c r="G1749" s="610" t="s">
        <v>379</v>
      </c>
      <c r="H1749" s="611" t="s">
        <v>626</v>
      </c>
    </row>
    <row r="1750" spans="1:8" ht="12.75" customHeight="1">
      <c r="A1750" s="608">
        <v>2</v>
      </c>
      <c r="B1750" s="706" t="s">
        <v>634</v>
      </c>
      <c r="C1750" s="706"/>
      <c r="D1750" s="706"/>
      <c r="E1750" s="706"/>
      <c r="F1750" s="706"/>
      <c r="G1750" s="706"/>
      <c r="H1750" s="706"/>
    </row>
    <row r="1751" spans="1:8" ht="31.5">
      <c r="A1751" s="608" t="s">
        <v>321</v>
      </c>
      <c r="B1751" s="612" t="s">
        <v>635</v>
      </c>
      <c r="C1751" s="610" t="s">
        <v>636</v>
      </c>
      <c r="D1751" s="610" t="s">
        <v>670</v>
      </c>
      <c r="E1751" s="610" t="s">
        <v>379</v>
      </c>
      <c r="F1751" s="610" t="s">
        <v>379</v>
      </c>
      <c r="G1751" s="614">
        <v>0</v>
      </c>
      <c r="H1751" s="611"/>
    </row>
    <row r="1752" spans="1:8" ht="47.25">
      <c r="A1752" s="608" t="s">
        <v>325</v>
      </c>
      <c r="B1752" s="612" t="s">
        <v>638</v>
      </c>
      <c r="C1752" s="610" t="s">
        <v>379</v>
      </c>
      <c r="D1752" s="610" t="s">
        <v>379</v>
      </c>
      <c r="E1752" s="610" t="s">
        <v>379</v>
      </c>
      <c r="F1752" s="610" t="s">
        <v>379</v>
      </c>
      <c r="G1752" s="610" t="s">
        <v>379</v>
      </c>
      <c r="H1752" s="611" t="s">
        <v>626</v>
      </c>
    </row>
    <row r="1753" spans="1:8" ht="31.5">
      <c r="A1753" s="608" t="s">
        <v>639</v>
      </c>
      <c r="B1753" s="612" t="s">
        <v>640</v>
      </c>
      <c r="C1753" s="610" t="s">
        <v>379</v>
      </c>
      <c r="D1753" s="610" t="s">
        <v>379</v>
      </c>
      <c r="E1753" s="610" t="s">
        <v>379</v>
      </c>
      <c r="F1753" s="610" t="s">
        <v>379</v>
      </c>
      <c r="G1753" s="610" t="s">
        <v>379</v>
      </c>
      <c r="H1753" s="611" t="s">
        <v>626</v>
      </c>
    </row>
    <row r="1754" spans="1:8" ht="12.75" customHeight="1">
      <c r="A1754" s="608">
        <v>3</v>
      </c>
      <c r="B1754" s="706" t="s">
        <v>641</v>
      </c>
      <c r="C1754" s="706"/>
      <c r="D1754" s="706"/>
      <c r="E1754" s="706"/>
      <c r="F1754" s="706"/>
      <c r="G1754" s="706"/>
      <c r="H1754" s="706"/>
    </row>
    <row r="1755" spans="1:8" ht="31.5">
      <c r="A1755" s="608" t="s">
        <v>378</v>
      </c>
      <c r="B1755" s="613" t="s">
        <v>642</v>
      </c>
      <c r="C1755" s="610" t="s">
        <v>379</v>
      </c>
      <c r="D1755" s="610" t="s">
        <v>379</v>
      </c>
      <c r="E1755" s="610" t="s">
        <v>379</v>
      </c>
      <c r="F1755" s="610" t="s">
        <v>379</v>
      </c>
      <c r="G1755" s="610" t="s">
        <v>379</v>
      </c>
      <c r="H1755" s="611" t="s">
        <v>626</v>
      </c>
    </row>
    <row r="1756" spans="1:8" ht="15.75">
      <c r="A1756" s="608" t="s">
        <v>643</v>
      </c>
      <c r="B1756" s="613" t="s">
        <v>644</v>
      </c>
      <c r="C1756" s="610" t="s">
        <v>636</v>
      </c>
      <c r="D1756" s="610" t="s">
        <v>671</v>
      </c>
      <c r="E1756" s="610" t="s">
        <v>379</v>
      </c>
      <c r="F1756" s="610" t="s">
        <v>379</v>
      </c>
      <c r="G1756" s="614">
        <v>0</v>
      </c>
      <c r="H1756" s="611"/>
    </row>
    <row r="1757" spans="1:8" ht="15.75">
      <c r="A1757" s="608" t="s">
        <v>380</v>
      </c>
      <c r="B1757" s="613" t="s">
        <v>646</v>
      </c>
      <c r="C1757" s="610" t="s">
        <v>647</v>
      </c>
      <c r="D1757" s="610" t="s">
        <v>651</v>
      </c>
      <c r="E1757" s="610" t="s">
        <v>379</v>
      </c>
      <c r="F1757" s="610" t="s">
        <v>379</v>
      </c>
      <c r="G1757" s="614">
        <v>0</v>
      </c>
      <c r="H1757" s="611"/>
    </row>
    <row r="1758" spans="1:8" ht="15.75">
      <c r="A1758" s="608" t="s">
        <v>649</v>
      </c>
      <c r="B1758" s="613" t="s">
        <v>650</v>
      </c>
      <c r="C1758" s="610" t="s">
        <v>651</v>
      </c>
      <c r="D1758" s="610" t="s">
        <v>672</v>
      </c>
      <c r="E1758" s="610" t="s">
        <v>379</v>
      </c>
      <c r="F1758" s="610" t="s">
        <v>379</v>
      </c>
      <c r="G1758" s="614">
        <v>0</v>
      </c>
      <c r="H1758" s="611"/>
    </row>
    <row r="1759" spans="1:8" ht="15.75">
      <c r="A1759" s="608" t="s">
        <v>653</v>
      </c>
      <c r="B1759" s="613" t="s">
        <v>654</v>
      </c>
      <c r="C1759" s="610" t="s">
        <v>672</v>
      </c>
      <c r="D1759" s="610" t="s">
        <v>670</v>
      </c>
      <c r="E1759" s="610" t="s">
        <v>379</v>
      </c>
      <c r="F1759" s="610" t="s">
        <v>379</v>
      </c>
      <c r="G1759" s="614">
        <v>0</v>
      </c>
      <c r="H1759" s="611"/>
    </row>
    <row r="1760" spans="1:8" ht="12.75" customHeight="1">
      <c r="A1760" s="608">
        <v>4</v>
      </c>
      <c r="B1760" s="706" t="s">
        <v>656</v>
      </c>
      <c r="C1760" s="706"/>
      <c r="D1760" s="706"/>
      <c r="E1760" s="706"/>
      <c r="F1760" s="706"/>
      <c r="G1760" s="706"/>
      <c r="H1760" s="706"/>
    </row>
    <row r="1761" spans="1:8" ht="31.5">
      <c r="A1761" s="608" t="s">
        <v>657</v>
      </c>
      <c r="B1761" s="612" t="s">
        <v>658</v>
      </c>
      <c r="C1761" s="610" t="s">
        <v>379</v>
      </c>
      <c r="D1761" s="610" t="s">
        <v>379</v>
      </c>
      <c r="E1761" s="610" t="s">
        <v>379</v>
      </c>
      <c r="F1761" s="610" t="s">
        <v>379</v>
      </c>
      <c r="G1761" s="610" t="s">
        <v>379</v>
      </c>
      <c r="H1761" s="611" t="s">
        <v>626</v>
      </c>
    </row>
    <row r="1762" spans="1:8" ht="47.25">
      <c r="A1762" s="608" t="s">
        <v>659</v>
      </c>
      <c r="B1762" s="612" t="s">
        <v>660</v>
      </c>
      <c r="C1762" s="610" t="s">
        <v>379</v>
      </c>
      <c r="D1762" s="610" t="s">
        <v>379</v>
      </c>
      <c r="E1762" s="610" t="s">
        <v>379</v>
      </c>
      <c r="F1762" s="610" t="s">
        <v>379</v>
      </c>
      <c r="G1762" s="610" t="s">
        <v>379</v>
      </c>
      <c r="H1762" s="611" t="s">
        <v>626</v>
      </c>
    </row>
    <row r="1763" spans="1:8" ht="31.5">
      <c r="A1763" s="608" t="s">
        <v>661</v>
      </c>
      <c r="B1763" s="613" t="s">
        <v>662</v>
      </c>
      <c r="C1763" s="610" t="s">
        <v>379</v>
      </c>
      <c r="D1763" s="610" t="s">
        <v>379</v>
      </c>
      <c r="E1763" s="610" t="s">
        <v>379</v>
      </c>
      <c r="F1763" s="610" t="s">
        <v>379</v>
      </c>
      <c r="G1763" s="610" t="s">
        <v>379</v>
      </c>
      <c r="H1763" s="611" t="s">
        <v>626</v>
      </c>
    </row>
    <row r="1764" spans="1:8" ht="31.5">
      <c r="A1764" s="615" t="s">
        <v>663</v>
      </c>
      <c r="B1764" s="616" t="s">
        <v>664</v>
      </c>
      <c r="C1764" s="617" t="s">
        <v>379</v>
      </c>
      <c r="D1764" s="617" t="s">
        <v>379</v>
      </c>
      <c r="E1764" s="617" t="s">
        <v>379</v>
      </c>
      <c r="F1764" s="617" t="s">
        <v>379</v>
      </c>
      <c r="G1764" s="617" t="s">
        <v>379</v>
      </c>
      <c r="H1764" s="618" t="s">
        <v>626</v>
      </c>
    </row>
    <row r="1765" spans="1:8" ht="15.75">
      <c r="A1765" s="619"/>
      <c r="B1765" s="620"/>
      <c r="C1765" s="621"/>
      <c r="D1765" s="621"/>
      <c r="E1765" s="621"/>
      <c r="F1765" s="621"/>
      <c r="G1765" s="621"/>
      <c r="H1765" s="148"/>
    </row>
    <row r="1766" spans="1:8" ht="12.75" customHeight="1">
      <c r="A1766" s="707" t="s">
        <v>665</v>
      </c>
      <c r="B1766" s="707"/>
      <c r="C1766" s="707"/>
      <c r="D1766" s="707"/>
      <c r="E1766" s="707"/>
      <c r="F1766" s="707"/>
      <c r="G1766" s="707"/>
      <c r="H1766" s="707"/>
    </row>
    <row r="1770" ht="15.75">
      <c r="H1770" s="11" t="s">
        <v>609</v>
      </c>
    </row>
    <row r="1771" ht="15.75">
      <c r="H1771" s="11" t="s">
        <v>610</v>
      </c>
    </row>
    <row r="1772" ht="15.75">
      <c r="H1772" s="11" t="s">
        <v>611</v>
      </c>
    </row>
    <row r="1773" ht="15.75">
      <c r="H1773" s="11"/>
    </row>
    <row r="1774" spans="1:8" ht="12.75" customHeight="1">
      <c r="A1774" s="713" t="s">
        <v>612</v>
      </c>
      <c r="B1774" s="713"/>
      <c r="C1774" s="713"/>
      <c r="D1774" s="713"/>
      <c r="E1774" s="713"/>
      <c r="F1774" s="713"/>
      <c r="G1774" s="713"/>
      <c r="H1774" s="713"/>
    </row>
    <row r="1775" spans="1:8" ht="12.75" customHeight="1">
      <c r="A1775" s="713" t="s">
        <v>613</v>
      </c>
      <c r="B1775" s="713"/>
      <c r="C1775" s="713"/>
      <c r="D1775" s="713"/>
      <c r="E1775" s="713"/>
      <c r="F1775" s="713"/>
      <c r="G1775" s="713"/>
      <c r="H1775" s="713"/>
    </row>
    <row r="1776" ht="15.75">
      <c r="H1776" s="11" t="s">
        <v>43</v>
      </c>
    </row>
    <row r="1777" ht="15.75">
      <c r="H1777" s="11" t="s">
        <v>44</v>
      </c>
    </row>
    <row r="1778" ht="15.75">
      <c r="H1778" s="11" t="s">
        <v>45</v>
      </c>
    </row>
    <row r="1779" ht="15.75">
      <c r="H1779" s="594" t="s">
        <v>614</v>
      </c>
    </row>
    <row r="1780" ht="15.75">
      <c r="H1780" s="11" t="s">
        <v>615</v>
      </c>
    </row>
    <row r="1781" ht="15.75">
      <c r="H1781" s="11" t="s">
        <v>47</v>
      </c>
    </row>
    <row r="1782" ht="15.75">
      <c r="A1782" s="595"/>
    </row>
    <row r="1783" ht="15.75">
      <c r="A1783" s="3" t="s">
        <v>761</v>
      </c>
    </row>
    <row r="1784" spans="1:8" ht="12.75" customHeight="1">
      <c r="A1784" s="717" t="s">
        <v>0</v>
      </c>
      <c r="B1784" s="714"/>
      <c r="C1784" s="714"/>
      <c r="D1784" s="714"/>
      <c r="E1784" s="714"/>
      <c r="F1784" s="714"/>
      <c r="G1784" s="714"/>
      <c r="H1784" s="714"/>
    </row>
    <row r="1785" spans="1:8" ht="16.5" thickBot="1">
      <c r="A1785" s="597"/>
      <c r="B1785" s="597"/>
      <c r="C1785" s="598"/>
      <c r="D1785" s="598"/>
      <c r="E1785" s="598"/>
      <c r="F1785" s="598"/>
      <c r="G1785" s="598"/>
      <c r="H1785" s="598"/>
    </row>
    <row r="1786" spans="1:8" ht="12.75" customHeight="1">
      <c r="A1786" s="708" t="s">
        <v>617</v>
      </c>
      <c r="B1786" s="710" t="s">
        <v>618</v>
      </c>
      <c r="C1786" s="711" t="s">
        <v>619</v>
      </c>
      <c r="D1786" s="711"/>
      <c r="E1786" s="711"/>
      <c r="F1786" s="711"/>
      <c r="G1786" s="712" t="s">
        <v>620</v>
      </c>
      <c r="H1786" s="708" t="s">
        <v>621</v>
      </c>
    </row>
    <row r="1787" spans="1:8" ht="15.75">
      <c r="A1787" s="708"/>
      <c r="B1787" s="710"/>
      <c r="C1787" s="711"/>
      <c r="D1787" s="711"/>
      <c r="E1787" s="711"/>
      <c r="F1787" s="711"/>
      <c r="G1787" s="712"/>
      <c r="H1787" s="708"/>
    </row>
    <row r="1788" spans="1:8" ht="31.5">
      <c r="A1788" s="708"/>
      <c r="B1788" s="710"/>
      <c r="C1788" s="601" t="s">
        <v>622</v>
      </c>
      <c r="D1788" s="601" t="s">
        <v>623</v>
      </c>
      <c r="E1788" s="602" t="s">
        <v>622</v>
      </c>
      <c r="F1788" s="603" t="s">
        <v>623</v>
      </c>
      <c r="G1788" s="712"/>
      <c r="H1788" s="708"/>
    </row>
    <row r="1789" spans="1:8" ht="15.75">
      <c r="A1789" s="599">
        <v>1</v>
      </c>
      <c r="B1789" s="599">
        <v>2</v>
      </c>
      <c r="C1789" s="604">
        <v>3</v>
      </c>
      <c r="D1789" s="604">
        <v>4</v>
      </c>
      <c r="E1789" s="605"/>
      <c r="F1789" s="606"/>
      <c r="G1789" s="600">
        <v>5</v>
      </c>
      <c r="H1789" s="599">
        <v>6</v>
      </c>
    </row>
    <row r="1790" spans="1:8" ht="12.75" customHeight="1">
      <c r="A1790" s="607">
        <v>1</v>
      </c>
      <c r="B1790" s="709" t="s">
        <v>624</v>
      </c>
      <c r="C1790" s="709"/>
      <c r="D1790" s="709"/>
      <c r="E1790" s="709"/>
      <c r="F1790" s="709"/>
      <c r="G1790" s="709"/>
      <c r="H1790" s="709"/>
    </row>
    <row r="1791" spans="1:8" ht="15.75">
      <c r="A1791" s="608" t="s">
        <v>74</v>
      </c>
      <c r="B1791" s="609" t="s">
        <v>625</v>
      </c>
      <c r="C1791" s="610" t="s">
        <v>379</v>
      </c>
      <c r="D1791" s="610" t="s">
        <v>379</v>
      </c>
      <c r="E1791" s="610" t="s">
        <v>379</v>
      </c>
      <c r="F1791" s="610" t="s">
        <v>379</v>
      </c>
      <c r="G1791" s="610" t="s">
        <v>379</v>
      </c>
      <c r="H1791" s="611" t="s">
        <v>626</v>
      </c>
    </row>
    <row r="1792" spans="1:8" ht="15.75">
      <c r="A1792" s="608" t="s">
        <v>313</v>
      </c>
      <c r="B1792" s="609" t="s">
        <v>627</v>
      </c>
      <c r="C1792" s="610" t="s">
        <v>379</v>
      </c>
      <c r="D1792" s="610" t="s">
        <v>379</v>
      </c>
      <c r="E1792" s="610" t="s">
        <v>379</v>
      </c>
      <c r="F1792" s="610" t="s">
        <v>379</v>
      </c>
      <c r="G1792" s="610" t="s">
        <v>379</v>
      </c>
      <c r="H1792" s="611" t="s">
        <v>626</v>
      </c>
    </row>
    <row r="1793" spans="1:8" ht="31.5">
      <c r="A1793" s="608" t="s">
        <v>315</v>
      </c>
      <c r="B1793" s="612" t="s">
        <v>628</v>
      </c>
      <c r="C1793" s="610" t="s">
        <v>379</v>
      </c>
      <c r="D1793" s="610" t="s">
        <v>379</v>
      </c>
      <c r="E1793" s="610" t="s">
        <v>379</v>
      </c>
      <c r="F1793" s="610" t="s">
        <v>379</v>
      </c>
      <c r="G1793" s="610" t="s">
        <v>379</v>
      </c>
      <c r="H1793" s="611" t="s">
        <v>626</v>
      </c>
    </row>
    <row r="1794" spans="1:8" ht="47.25">
      <c r="A1794" s="608" t="s">
        <v>317</v>
      </c>
      <c r="B1794" s="612" t="s">
        <v>629</v>
      </c>
      <c r="C1794" s="610" t="s">
        <v>379</v>
      </c>
      <c r="D1794" s="610" t="s">
        <v>379</v>
      </c>
      <c r="E1794" s="610" t="s">
        <v>379</v>
      </c>
      <c r="F1794" s="610" t="s">
        <v>379</v>
      </c>
      <c r="G1794" s="610" t="s">
        <v>379</v>
      </c>
      <c r="H1794" s="611" t="s">
        <v>626</v>
      </c>
    </row>
    <row r="1795" spans="1:8" ht="15.75">
      <c r="A1795" s="608" t="s">
        <v>630</v>
      </c>
      <c r="B1795" s="613" t="s">
        <v>631</v>
      </c>
      <c r="C1795" s="610" t="s">
        <v>379</v>
      </c>
      <c r="D1795" s="610" t="s">
        <v>379</v>
      </c>
      <c r="E1795" s="610" t="s">
        <v>379</v>
      </c>
      <c r="F1795" s="610" t="s">
        <v>379</v>
      </c>
      <c r="G1795" s="610" t="s">
        <v>379</v>
      </c>
      <c r="H1795" s="611" t="s">
        <v>626</v>
      </c>
    </row>
    <row r="1796" spans="1:8" ht="15.75">
      <c r="A1796" s="608" t="s">
        <v>632</v>
      </c>
      <c r="B1796" s="613" t="s">
        <v>633</v>
      </c>
      <c r="C1796" s="610" t="s">
        <v>379</v>
      </c>
      <c r="D1796" s="610" t="s">
        <v>379</v>
      </c>
      <c r="E1796" s="610" t="s">
        <v>379</v>
      </c>
      <c r="F1796" s="610" t="s">
        <v>379</v>
      </c>
      <c r="G1796" s="610" t="s">
        <v>379</v>
      </c>
      <c r="H1796" s="611" t="s">
        <v>626</v>
      </c>
    </row>
    <row r="1797" spans="1:8" ht="12.75" customHeight="1">
      <c r="A1797" s="608">
        <v>2</v>
      </c>
      <c r="B1797" s="706" t="s">
        <v>634</v>
      </c>
      <c r="C1797" s="706"/>
      <c r="D1797" s="706"/>
      <c r="E1797" s="706"/>
      <c r="F1797" s="706"/>
      <c r="G1797" s="706"/>
      <c r="H1797" s="706"/>
    </row>
    <row r="1798" spans="1:8" ht="31.5">
      <c r="A1798" s="608" t="s">
        <v>321</v>
      </c>
      <c r="B1798" s="612" t="s">
        <v>635</v>
      </c>
      <c r="C1798" s="610" t="s">
        <v>676</v>
      </c>
      <c r="D1798" s="610" t="s">
        <v>677</v>
      </c>
      <c r="E1798" s="610" t="s">
        <v>379</v>
      </c>
      <c r="F1798" s="610" t="s">
        <v>379</v>
      </c>
      <c r="G1798" s="614">
        <v>0</v>
      </c>
      <c r="H1798" s="611"/>
    </row>
    <row r="1799" spans="1:8" ht="47.25">
      <c r="A1799" s="608" t="s">
        <v>325</v>
      </c>
      <c r="B1799" s="612" t="s">
        <v>638</v>
      </c>
      <c r="C1799" s="610" t="s">
        <v>379</v>
      </c>
      <c r="D1799" s="610" t="s">
        <v>379</v>
      </c>
      <c r="E1799" s="610" t="s">
        <v>379</v>
      </c>
      <c r="F1799" s="610" t="s">
        <v>379</v>
      </c>
      <c r="G1799" s="610" t="s">
        <v>379</v>
      </c>
      <c r="H1799" s="611" t="s">
        <v>626</v>
      </c>
    </row>
    <row r="1800" spans="1:8" ht="31.5">
      <c r="A1800" s="608" t="s">
        <v>639</v>
      </c>
      <c r="B1800" s="612" t="s">
        <v>640</v>
      </c>
      <c r="C1800" s="610" t="s">
        <v>379</v>
      </c>
      <c r="D1800" s="610" t="s">
        <v>379</v>
      </c>
      <c r="E1800" s="610" t="s">
        <v>379</v>
      </c>
      <c r="F1800" s="610" t="s">
        <v>379</v>
      </c>
      <c r="G1800" s="610" t="s">
        <v>379</v>
      </c>
      <c r="H1800" s="611" t="s">
        <v>626</v>
      </c>
    </row>
    <row r="1801" spans="1:8" ht="12.75" customHeight="1">
      <c r="A1801" s="608">
        <v>3</v>
      </c>
      <c r="B1801" s="706" t="s">
        <v>641</v>
      </c>
      <c r="C1801" s="706"/>
      <c r="D1801" s="706"/>
      <c r="E1801" s="706"/>
      <c r="F1801" s="706"/>
      <c r="G1801" s="706"/>
      <c r="H1801" s="706"/>
    </row>
    <row r="1802" spans="1:8" ht="31.5">
      <c r="A1802" s="608" t="s">
        <v>378</v>
      </c>
      <c r="B1802" s="613" t="s">
        <v>642</v>
      </c>
      <c r="C1802" s="610" t="s">
        <v>379</v>
      </c>
      <c r="D1802" s="610" t="s">
        <v>379</v>
      </c>
      <c r="E1802" s="610" t="s">
        <v>379</v>
      </c>
      <c r="F1802" s="610" t="s">
        <v>379</v>
      </c>
      <c r="G1802" s="610" t="s">
        <v>379</v>
      </c>
      <c r="H1802" s="611" t="s">
        <v>626</v>
      </c>
    </row>
    <row r="1803" spans="1:8" ht="15.75">
      <c r="A1803" s="608" t="s">
        <v>643</v>
      </c>
      <c r="B1803" s="613" t="s">
        <v>644</v>
      </c>
      <c r="C1803" s="610" t="s">
        <v>676</v>
      </c>
      <c r="D1803" s="610" t="s">
        <v>678</v>
      </c>
      <c r="E1803" s="610" t="s">
        <v>379</v>
      </c>
      <c r="F1803" s="610" t="s">
        <v>379</v>
      </c>
      <c r="G1803" s="614">
        <v>0</v>
      </c>
      <c r="H1803" s="611"/>
    </row>
    <row r="1804" spans="1:8" ht="15.75">
      <c r="A1804" s="608" t="s">
        <v>380</v>
      </c>
      <c r="B1804" s="613" t="s">
        <v>646</v>
      </c>
      <c r="C1804" s="610" t="s">
        <v>679</v>
      </c>
      <c r="D1804" s="610" t="s">
        <v>680</v>
      </c>
      <c r="E1804" s="610" t="s">
        <v>379</v>
      </c>
      <c r="F1804" s="610" t="s">
        <v>379</v>
      </c>
      <c r="G1804" s="614">
        <v>0</v>
      </c>
      <c r="H1804" s="611"/>
    </row>
    <row r="1805" spans="1:8" ht="15.75">
      <c r="A1805" s="608" t="s">
        <v>649</v>
      </c>
      <c r="B1805" s="613" t="s">
        <v>650</v>
      </c>
      <c r="C1805" s="610" t="s">
        <v>681</v>
      </c>
      <c r="D1805" s="610" t="s">
        <v>682</v>
      </c>
      <c r="E1805" s="610" t="s">
        <v>379</v>
      </c>
      <c r="F1805" s="610" t="s">
        <v>379</v>
      </c>
      <c r="G1805" s="614">
        <v>0</v>
      </c>
      <c r="H1805" s="611"/>
    </row>
    <row r="1806" spans="1:8" ht="15.75">
      <c r="A1806" s="608" t="s">
        <v>653</v>
      </c>
      <c r="B1806" s="613" t="s">
        <v>654</v>
      </c>
      <c r="C1806" s="610" t="s">
        <v>682</v>
      </c>
      <c r="D1806" s="610" t="s">
        <v>677</v>
      </c>
      <c r="E1806" s="610" t="s">
        <v>379</v>
      </c>
      <c r="F1806" s="610" t="s">
        <v>379</v>
      </c>
      <c r="G1806" s="614">
        <v>0</v>
      </c>
      <c r="H1806" s="611"/>
    </row>
    <row r="1807" spans="1:8" ht="12.75" customHeight="1">
      <c r="A1807" s="608">
        <v>4</v>
      </c>
      <c r="B1807" s="706" t="s">
        <v>656</v>
      </c>
      <c r="C1807" s="706"/>
      <c r="D1807" s="706"/>
      <c r="E1807" s="706"/>
      <c r="F1807" s="706"/>
      <c r="G1807" s="706"/>
      <c r="H1807" s="706"/>
    </row>
    <row r="1808" spans="1:8" ht="31.5">
      <c r="A1808" s="608" t="s">
        <v>657</v>
      </c>
      <c r="B1808" s="612" t="s">
        <v>658</v>
      </c>
      <c r="C1808" s="610" t="s">
        <v>379</v>
      </c>
      <c r="D1808" s="610" t="s">
        <v>379</v>
      </c>
      <c r="E1808" s="610" t="s">
        <v>379</v>
      </c>
      <c r="F1808" s="610" t="s">
        <v>379</v>
      </c>
      <c r="G1808" s="610" t="s">
        <v>379</v>
      </c>
      <c r="H1808" s="611" t="s">
        <v>626</v>
      </c>
    </row>
    <row r="1809" spans="1:8" ht="47.25">
      <c r="A1809" s="608" t="s">
        <v>659</v>
      </c>
      <c r="B1809" s="612" t="s">
        <v>660</v>
      </c>
      <c r="C1809" s="610" t="s">
        <v>379</v>
      </c>
      <c r="D1809" s="610" t="s">
        <v>379</v>
      </c>
      <c r="E1809" s="610" t="s">
        <v>379</v>
      </c>
      <c r="F1809" s="610" t="s">
        <v>379</v>
      </c>
      <c r="G1809" s="610" t="s">
        <v>379</v>
      </c>
      <c r="H1809" s="611" t="s">
        <v>626</v>
      </c>
    </row>
    <row r="1810" spans="1:8" ht="31.5">
      <c r="A1810" s="608" t="s">
        <v>661</v>
      </c>
      <c r="B1810" s="613" t="s">
        <v>662</v>
      </c>
      <c r="C1810" s="610" t="s">
        <v>379</v>
      </c>
      <c r="D1810" s="610" t="s">
        <v>379</v>
      </c>
      <c r="E1810" s="610" t="s">
        <v>379</v>
      </c>
      <c r="F1810" s="610" t="s">
        <v>379</v>
      </c>
      <c r="G1810" s="610" t="s">
        <v>379</v>
      </c>
      <c r="H1810" s="611" t="s">
        <v>626</v>
      </c>
    </row>
    <row r="1811" spans="1:8" ht="31.5">
      <c r="A1811" s="615" t="s">
        <v>663</v>
      </c>
      <c r="B1811" s="616" t="s">
        <v>664</v>
      </c>
      <c r="C1811" s="617" t="s">
        <v>379</v>
      </c>
      <c r="D1811" s="617" t="s">
        <v>379</v>
      </c>
      <c r="E1811" s="617" t="s">
        <v>379</v>
      </c>
      <c r="F1811" s="617" t="s">
        <v>379</v>
      </c>
      <c r="G1811" s="617" t="s">
        <v>379</v>
      </c>
      <c r="H1811" s="618" t="s">
        <v>626</v>
      </c>
    </row>
    <row r="1812" spans="1:8" ht="15.75">
      <c r="A1812" s="619"/>
      <c r="B1812" s="620"/>
      <c r="C1812" s="621"/>
      <c r="D1812" s="621"/>
      <c r="E1812" s="621"/>
      <c r="F1812" s="621"/>
      <c r="G1812" s="621"/>
      <c r="H1812" s="148"/>
    </row>
    <row r="1813" spans="1:8" ht="12.75" customHeight="1">
      <c r="A1813" s="707" t="s">
        <v>665</v>
      </c>
      <c r="B1813" s="707"/>
      <c r="C1813" s="707"/>
      <c r="D1813" s="707"/>
      <c r="E1813" s="707"/>
      <c r="F1813" s="707"/>
      <c r="G1813" s="707"/>
      <c r="H1813" s="707"/>
    </row>
    <row r="1819" ht="15.75">
      <c r="H1819" s="11" t="s">
        <v>609</v>
      </c>
    </row>
    <row r="1820" ht="15.75">
      <c r="H1820" s="11" t="s">
        <v>610</v>
      </c>
    </row>
    <row r="1821" ht="15.75">
      <c r="H1821" s="11" t="s">
        <v>611</v>
      </c>
    </row>
    <row r="1822" ht="15.75">
      <c r="H1822" s="11"/>
    </row>
    <row r="1823" spans="1:8" ht="12.75" customHeight="1">
      <c r="A1823" s="713" t="s">
        <v>612</v>
      </c>
      <c r="B1823" s="713"/>
      <c r="C1823" s="713"/>
      <c r="D1823" s="713"/>
      <c r="E1823" s="713"/>
      <c r="F1823" s="713"/>
      <c r="G1823" s="713"/>
      <c r="H1823" s="713"/>
    </row>
    <row r="1824" spans="1:8" ht="12.75" customHeight="1">
      <c r="A1824" s="713" t="s">
        <v>613</v>
      </c>
      <c r="B1824" s="713"/>
      <c r="C1824" s="713"/>
      <c r="D1824" s="713"/>
      <c r="E1824" s="713"/>
      <c r="F1824" s="713"/>
      <c r="G1824" s="713"/>
      <c r="H1824" s="713"/>
    </row>
    <row r="1825" ht="15.75">
      <c r="H1825" s="11" t="s">
        <v>43</v>
      </c>
    </row>
    <row r="1826" ht="15.75">
      <c r="H1826" s="11" t="s">
        <v>44</v>
      </c>
    </row>
    <row r="1827" ht="15.75">
      <c r="H1827" s="11" t="s">
        <v>45</v>
      </c>
    </row>
    <row r="1828" ht="15.75">
      <c r="H1828" s="594" t="s">
        <v>614</v>
      </c>
    </row>
    <row r="1829" ht="15.75">
      <c r="H1829" s="11" t="s">
        <v>615</v>
      </c>
    </row>
    <row r="1830" ht="15.75">
      <c r="H1830" s="11" t="s">
        <v>47</v>
      </c>
    </row>
    <row r="1831" ht="15.75">
      <c r="A1831" s="595"/>
    </row>
    <row r="1832" ht="15.75">
      <c r="A1832" s="3" t="s">
        <v>762</v>
      </c>
    </row>
    <row r="1833" spans="1:8" ht="12.75" customHeight="1">
      <c r="A1833" s="717" t="s">
        <v>0</v>
      </c>
      <c r="B1833" s="714"/>
      <c r="C1833" s="714"/>
      <c r="D1833" s="714"/>
      <c r="E1833" s="714"/>
      <c r="F1833" s="714"/>
      <c r="G1833" s="714"/>
      <c r="H1833" s="714"/>
    </row>
    <row r="1834" spans="1:8" ht="16.5" thickBot="1">
      <c r="A1834" s="597"/>
      <c r="B1834" s="597"/>
      <c r="C1834" s="598"/>
      <c r="D1834" s="598"/>
      <c r="E1834" s="598"/>
      <c r="F1834" s="598"/>
      <c r="G1834" s="598"/>
      <c r="H1834" s="598"/>
    </row>
    <row r="1835" spans="1:8" ht="12.75" customHeight="1">
      <c r="A1835" s="708" t="s">
        <v>617</v>
      </c>
      <c r="B1835" s="710" t="s">
        <v>618</v>
      </c>
      <c r="C1835" s="711" t="s">
        <v>619</v>
      </c>
      <c r="D1835" s="711"/>
      <c r="E1835" s="711"/>
      <c r="F1835" s="711"/>
      <c r="G1835" s="712" t="s">
        <v>620</v>
      </c>
      <c r="H1835" s="708" t="s">
        <v>621</v>
      </c>
    </row>
    <row r="1836" spans="1:8" ht="15.75">
      <c r="A1836" s="708"/>
      <c r="B1836" s="710"/>
      <c r="C1836" s="711"/>
      <c r="D1836" s="711"/>
      <c r="E1836" s="711"/>
      <c r="F1836" s="711"/>
      <c r="G1836" s="712"/>
      <c r="H1836" s="708"/>
    </row>
    <row r="1837" spans="1:8" ht="31.5">
      <c r="A1837" s="708"/>
      <c r="B1837" s="710"/>
      <c r="C1837" s="601" t="s">
        <v>622</v>
      </c>
      <c r="D1837" s="601" t="s">
        <v>623</v>
      </c>
      <c r="E1837" s="602" t="s">
        <v>622</v>
      </c>
      <c r="F1837" s="603" t="s">
        <v>623</v>
      </c>
      <c r="G1837" s="712"/>
      <c r="H1837" s="708"/>
    </row>
    <row r="1838" spans="1:8" ht="15.75">
      <c r="A1838" s="599">
        <v>1</v>
      </c>
      <c r="B1838" s="599">
        <v>2</v>
      </c>
      <c r="C1838" s="604">
        <v>3</v>
      </c>
      <c r="D1838" s="604">
        <v>4</v>
      </c>
      <c r="E1838" s="605"/>
      <c r="F1838" s="606"/>
      <c r="G1838" s="600">
        <v>5</v>
      </c>
      <c r="H1838" s="599">
        <v>6</v>
      </c>
    </row>
    <row r="1839" spans="1:8" ht="12.75" customHeight="1">
      <c r="A1839" s="607">
        <v>1</v>
      </c>
      <c r="B1839" s="709" t="s">
        <v>624</v>
      </c>
      <c r="C1839" s="709"/>
      <c r="D1839" s="709"/>
      <c r="E1839" s="709"/>
      <c r="F1839" s="709"/>
      <c r="G1839" s="709"/>
      <c r="H1839" s="709"/>
    </row>
    <row r="1840" spans="1:8" ht="15.75">
      <c r="A1840" s="608" t="s">
        <v>74</v>
      </c>
      <c r="B1840" s="609" t="s">
        <v>625</v>
      </c>
      <c r="C1840" s="610" t="s">
        <v>379</v>
      </c>
      <c r="D1840" s="610" t="s">
        <v>379</v>
      </c>
      <c r="E1840" s="610" t="s">
        <v>379</v>
      </c>
      <c r="F1840" s="610" t="s">
        <v>379</v>
      </c>
      <c r="G1840" s="610" t="s">
        <v>379</v>
      </c>
      <c r="H1840" s="611" t="s">
        <v>626</v>
      </c>
    </row>
    <row r="1841" spans="1:8" ht="15.75">
      <c r="A1841" s="608" t="s">
        <v>313</v>
      </c>
      <c r="B1841" s="609" t="s">
        <v>627</v>
      </c>
      <c r="C1841" s="610" t="s">
        <v>379</v>
      </c>
      <c r="D1841" s="610" t="s">
        <v>379</v>
      </c>
      <c r="E1841" s="610" t="s">
        <v>379</v>
      </c>
      <c r="F1841" s="610" t="s">
        <v>379</v>
      </c>
      <c r="G1841" s="610" t="s">
        <v>379</v>
      </c>
      <c r="H1841" s="611" t="s">
        <v>626</v>
      </c>
    </row>
    <row r="1842" spans="1:8" ht="31.5">
      <c r="A1842" s="608" t="s">
        <v>315</v>
      </c>
      <c r="B1842" s="612" t="s">
        <v>628</v>
      </c>
      <c r="C1842" s="610" t="s">
        <v>379</v>
      </c>
      <c r="D1842" s="610" t="s">
        <v>379</v>
      </c>
      <c r="E1842" s="610" t="s">
        <v>379</v>
      </c>
      <c r="F1842" s="610" t="s">
        <v>379</v>
      </c>
      <c r="G1842" s="610" t="s">
        <v>379</v>
      </c>
      <c r="H1842" s="611" t="s">
        <v>626</v>
      </c>
    </row>
    <row r="1843" spans="1:8" ht="47.25">
      <c r="A1843" s="608" t="s">
        <v>317</v>
      </c>
      <c r="B1843" s="612" t="s">
        <v>629</v>
      </c>
      <c r="C1843" s="610" t="s">
        <v>379</v>
      </c>
      <c r="D1843" s="610" t="s">
        <v>379</v>
      </c>
      <c r="E1843" s="610" t="s">
        <v>379</v>
      </c>
      <c r="F1843" s="610" t="s">
        <v>379</v>
      </c>
      <c r="G1843" s="610" t="s">
        <v>379</v>
      </c>
      <c r="H1843" s="611" t="s">
        <v>626</v>
      </c>
    </row>
    <row r="1844" spans="1:8" ht="15.75">
      <c r="A1844" s="608" t="s">
        <v>630</v>
      </c>
      <c r="B1844" s="613" t="s">
        <v>631</v>
      </c>
      <c r="C1844" s="610" t="s">
        <v>379</v>
      </c>
      <c r="D1844" s="610" t="s">
        <v>379</v>
      </c>
      <c r="E1844" s="610" t="s">
        <v>379</v>
      </c>
      <c r="F1844" s="610" t="s">
        <v>379</v>
      </c>
      <c r="G1844" s="610" t="s">
        <v>379</v>
      </c>
      <c r="H1844" s="611" t="s">
        <v>626</v>
      </c>
    </row>
    <row r="1845" spans="1:8" ht="15.75">
      <c r="A1845" s="608" t="s">
        <v>632</v>
      </c>
      <c r="B1845" s="613" t="s">
        <v>633</v>
      </c>
      <c r="C1845" s="610" t="s">
        <v>379</v>
      </c>
      <c r="D1845" s="610" t="s">
        <v>379</v>
      </c>
      <c r="E1845" s="610" t="s">
        <v>379</v>
      </c>
      <c r="F1845" s="610" t="s">
        <v>379</v>
      </c>
      <c r="G1845" s="610" t="s">
        <v>379</v>
      </c>
      <c r="H1845" s="611" t="s">
        <v>626</v>
      </c>
    </row>
    <row r="1846" spans="1:8" ht="12.75" customHeight="1">
      <c r="A1846" s="608">
        <v>2</v>
      </c>
      <c r="B1846" s="706" t="s">
        <v>634</v>
      </c>
      <c r="C1846" s="706"/>
      <c r="D1846" s="706"/>
      <c r="E1846" s="706"/>
      <c r="F1846" s="706"/>
      <c r="G1846" s="706"/>
      <c r="H1846" s="706"/>
    </row>
    <row r="1847" spans="1:8" ht="31.5">
      <c r="A1847" s="608" t="s">
        <v>321</v>
      </c>
      <c r="B1847" s="612" t="s">
        <v>635</v>
      </c>
      <c r="C1847" s="610" t="s">
        <v>710</v>
      </c>
      <c r="D1847" s="610" t="s">
        <v>711</v>
      </c>
      <c r="E1847" s="610" t="s">
        <v>379</v>
      </c>
      <c r="F1847" s="610" t="s">
        <v>379</v>
      </c>
      <c r="G1847" s="614">
        <v>0</v>
      </c>
      <c r="H1847" s="611"/>
    </row>
    <row r="1848" spans="1:8" ht="47.25">
      <c r="A1848" s="608" t="s">
        <v>325</v>
      </c>
      <c r="B1848" s="612" t="s">
        <v>638</v>
      </c>
      <c r="C1848" s="610" t="s">
        <v>379</v>
      </c>
      <c r="D1848" s="610" t="s">
        <v>379</v>
      </c>
      <c r="E1848" s="610" t="s">
        <v>379</v>
      </c>
      <c r="F1848" s="610" t="s">
        <v>379</v>
      </c>
      <c r="G1848" s="610" t="s">
        <v>379</v>
      </c>
      <c r="H1848" s="611" t="s">
        <v>626</v>
      </c>
    </row>
    <row r="1849" spans="1:8" ht="31.5">
      <c r="A1849" s="608" t="s">
        <v>639</v>
      </c>
      <c r="B1849" s="612" t="s">
        <v>640</v>
      </c>
      <c r="C1849" s="610" t="s">
        <v>379</v>
      </c>
      <c r="D1849" s="610" t="s">
        <v>379</v>
      </c>
      <c r="E1849" s="610" t="s">
        <v>379</v>
      </c>
      <c r="F1849" s="610" t="s">
        <v>379</v>
      </c>
      <c r="G1849" s="610" t="s">
        <v>379</v>
      </c>
      <c r="H1849" s="611" t="s">
        <v>626</v>
      </c>
    </row>
    <row r="1850" spans="1:8" ht="12.75" customHeight="1">
      <c r="A1850" s="608">
        <v>3</v>
      </c>
      <c r="B1850" s="706" t="s">
        <v>641</v>
      </c>
      <c r="C1850" s="706"/>
      <c r="D1850" s="706"/>
      <c r="E1850" s="706"/>
      <c r="F1850" s="706"/>
      <c r="G1850" s="706"/>
      <c r="H1850" s="706"/>
    </row>
    <row r="1851" spans="1:8" ht="31.5">
      <c r="A1851" s="608" t="s">
        <v>378</v>
      </c>
      <c r="B1851" s="613" t="s">
        <v>642</v>
      </c>
      <c r="C1851" s="610" t="s">
        <v>379</v>
      </c>
      <c r="D1851" s="610" t="s">
        <v>379</v>
      </c>
      <c r="E1851" s="610" t="s">
        <v>379</v>
      </c>
      <c r="F1851" s="610" t="s">
        <v>379</v>
      </c>
      <c r="G1851" s="610" t="s">
        <v>379</v>
      </c>
      <c r="H1851" s="611" t="s">
        <v>626</v>
      </c>
    </row>
    <row r="1852" spans="1:8" ht="15.75">
      <c r="A1852" s="608" t="s">
        <v>643</v>
      </c>
      <c r="B1852" s="613" t="s">
        <v>644</v>
      </c>
      <c r="C1852" s="610" t="s">
        <v>710</v>
      </c>
      <c r="D1852" s="610" t="s">
        <v>712</v>
      </c>
      <c r="E1852" s="610" t="s">
        <v>379</v>
      </c>
      <c r="F1852" s="610" t="s">
        <v>379</v>
      </c>
      <c r="G1852" s="614">
        <v>0</v>
      </c>
      <c r="H1852" s="611"/>
    </row>
    <row r="1853" spans="1:8" ht="15.75">
      <c r="A1853" s="608" t="s">
        <v>380</v>
      </c>
      <c r="B1853" s="613" t="s">
        <v>646</v>
      </c>
      <c r="C1853" s="610" t="s">
        <v>713</v>
      </c>
      <c r="D1853" s="610" t="s">
        <v>714</v>
      </c>
      <c r="E1853" s="610" t="s">
        <v>379</v>
      </c>
      <c r="F1853" s="610" t="s">
        <v>379</v>
      </c>
      <c r="G1853" s="614">
        <v>0</v>
      </c>
      <c r="H1853" s="611"/>
    </row>
    <row r="1854" spans="1:8" ht="15.75">
      <c r="A1854" s="608" t="s">
        <v>649</v>
      </c>
      <c r="B1854" s="613" t="s">
        <v>650</v>
      </c>
      <c r="C1854" s="610" t="s">
        <v>715</v>
      </c>
      <c r="D1854" s="610" t="s">
        <v>716</v>
      </c>
      <c r="E1854" s="610" t="s">
        <v>379</v>
      </c>
      <c r="F1854" s="610" t="s">
        <v>379</v>
      </c>
      <c r="G1854" s="614">
        <v>0</v>
      </c>
      <c r="H1854" s="611"/>
    </row>
    <row r="1855" spans="1:8" ht="15.75">
      <c r="A1855" s="608" t="s">
        <v>653</v>
      </c>
      <c r="B1855" s="613" t="s">
        <v>654</v>
      </c>
      <c r="C1855" s="610" t="s">
        <v>717</v>
      </c>
      <c r="D1855" s="610" t="s">
        <v>711</v>
      </c>
      <c r="E1855" s="610" t="s">
        <v>379</v>
      </c>
      <c r="F1855" s="610" t="s">
        <v>379</v>
      </c>
      <c r="G1855" s="614">
        <v>0</v>
      </c>
      <c r="H1855" s="611"/>
    </row>
    <row r="1856" spans="1:8" ht="12.75" customHeight="1">
      <c r="A1856" s="608">
        <v>4</v>
      </c>
      <c r="B1856" s="706" t="s">
        <v>656</v>
      </c>
      <c r="C1856" s="706"/>
      <c r="D1856" s="706"/>
      <c r="E1856" s="706"/>
      <c r="F1856" s="706"/>
      <c r="G1856" s="706"/>
      <c r="H1856" s="706"/>
    </row>
    <row r="1857" spans="1:8" ht="31.5">
      <c r="A1857" s="608" t="s">
        <v>657</v>
      </c>
      <c r="B1857" s="612" t="s">
        <v>658</v>
      </c>
      <c r="C1857" s="610" t="s">
        <v>379</v>
      </c>
      <c r="D1857" s="610" t="s">
        <v>379</v>
      </c>
      <c r="E1857" s="610" t="s">
        <v>379</v>
      </c>
      <c r="F1857" s="610" t="s">
        <v>379</v>
      </c>
      <c r="G1857" s="610" t="s">
        <v>379</v>
      </c>
      <c r="H1857" s="611" t="s">
        <v>626</v>
      </c>
    </row>
    <row r="1858" spans="1:8" ht="47.25">
      <c r="A1858" s="608" t="s">
        <v>659</v>
      </c>
      <c r="B1858" s="612" t="s">
        <v>660</v>
      </c>
      <c r="C1858" s="610" t="s">
        <v>379</v>
      </c>
      <c r="D1858" s="610" t="s">
        <v>379</v>
      </c>
      <c r="E1858" s="610" t="s">
        <v>379</v>
      </c>
      <c r="F1858" s="610" t="s">
        <v>379</v>
      </c>
      <c r="G1858" s="610" t="s">
        <v>379</v>
      </c>
      <c r="H1858" s="611" t="s">
        <v>626</v>
      </c>
    </row>
    <row r="1859" spans="1:8" ht="31.5">
      <c r="A1859" s="608" t="s">
        <v>661</v>
      </c>
      <c r="B1859" s="613" t="s">
        <v>662</v>
      </c>
      <c r="C1859" s="610" t="s">
        <v>379</v>
      </c>
      <c r="D1859" s="610" t="s">
        <v>379</v>
      </c>
      <c r="E1859" s="610" t="s">
        <v>379</v>
      </c>
      <c r="F1859" s="610" t="s">
        <v>379</v>
      </c>
      <c r="G1859" s="610" t="s">
        <v>379</v>
      </c>
      <c r="H1859" s="611" t="s">
        <v>626</v>
      </c>
    </row>
    <row r="1860" spans="1:8" ht="31.5">
      <c r="A1860" s="615" t="s">
        <v>663</v>
      </c>
      <c r="B1860" s="616" t="s">
        <v>664</v>
      </c>
      <c r="C1860" s="617" t="s">
        <v>379</v>
      </c>
      <c r="D1860" s="617" t="s">
        <v>379</v>
      </c>
      <c r="E1860" s="617" t="s">
        <v>379</v>
      </c>
      <c r="F1860" s="617" t="s">
        <v>379</v>
      </c>
      <c r="G1860" s="617" t="s">
        <v>379</v>
      </c>
      <c r="H1860" s="618" t="s">
        <v>626</v>
      </c>
    </row>
    <row r="1861" spans="1:8" ht="15.75">
      <c r="A1861" s="619"/>
      <c r="B1861" s="620"/>
      <c r="C1861" s="621"/>
      <c r="D1861" s="621"/>
      <c r="E1861" s="621"/>
      <c r="F1861" s="621"/>
      <c r="G1861" s="621"/>
      <c r="H1861" s="148"/>
    </row>
    <row r="1862" spans="1:8" ht="12.75" customHeight="1">
      <c r="A1862" s="707" t="s">
        <v>665</v>
      </c>
      <c r="B1862" s="707"/>
      <c r="C1862" s="707"/>
      <c r="D1862" s="707"/>
      <c r="E1862" s="707"/>
      <c r="F1862" s="707"/>
      <c r="G1862" s="707"/>
      <c r="H1862" s="707"/>
    </row>
    <row r="1866" ht="15.75">
      <c r="H1866" s="11" t="s">
        <v>609</v>
      </c>
    </row>
    <row r="1867" ht="15.75">
      <c r="H1867" s="11" t="s">
        <v>610</v>
      </c>
    </row>
    <row r="1868" ht="15.75">
      <c r="H1868" s="11" t="s">
        <v>611</v>
      </c>
    </row>
    <row r="1869" ht="15.75">
      <c r="H1869" s="11"/>
    </row>
    <row r="1870" spans="1:8" ht="12.75" customHeight="1">
      <c r="A1870" s="713" t="s">
        <v>612</v>
      </c>
      <c r="B1870" s="713"/>
      <c r="C1870" s="713"/>
      <c r="D1870" s="713"/>
      <c r="E1870" s="713"/>
      <c r="F1870" s="713"/>
      <c r="G1870" s="713"/>
      <c r="H1870" s="713"/>
    </row>
    <row r="1871" spans="1:8" ht="12.75" customHeight="1">
      <c r="A1871" s="713" t="s">
        <v>613</v>
      </c>
      <c r="B1871" s="713"/>
      <c r="C1871" s="713"/>
      <c r="D1871" s="713"/>
      <c r="E1871" s="713"/>
      <c r="F1871" s="713"/>
      <c r="G1871" s="713"/>
      <c r="H1871" s="713"/>
    </row>
    <row r="1872" ht="15.75">
      <c r="H1872" s="11" t="s">
        <v>43</v>
      </c>
    </row>
    <row r="1873" ht="15.75">
      <c r="H1873" s="11" t="s">
        <v>44</v>
      </c>
    </row>
    <row r="1874" ht="15.75">
      <c r="H1874" s="11" t="s">
        <v>45</v>
      </c>
    </row>
    <row r="1875" ht="15.75">
      <c r="H1875" s="594" t="s">
        <v>614</v>
      </c>
    </row>
    <row r="1876" ht="15.75">
      <c r="H1876" s="11" t="s">
        <v>615</v>
      </c>
    </row>
    <row r="1877" ht="15.75">
      <c r="H1877" s="11" t="s">
        <v>47</v>
      </c>
    </row>
    <row r="1878" ht="15.75">
      <c r="A1878" s="595"/>
    </row>
    <row r="1879" ht="15.75">
      <c r="A1879" s="3" t="s">
        <v>763</v>
      </c>
    </row>
    <row r="1880" spans="1:8" ht="12.75" customHeight="1">
      <c r="A1880" s="717" t="s">
        <v>0</v>
      </c>
      <c r="B1880" s="714"/>
      <c r="C1880" s="714"/>
      <c r="D1880" s="714"/>
      <c r="E1880" s="714"/>
      <c r="F1880" s="714"/>
      <c r="G1880" s="714"/>
      <c r="H1880" s="714"/>
    </row>
    <row r="1881" spans="1:8" ht="16.5" thickBot="1">
      <c r="A1881" s="597"/>
      <c r="B1881" s="597"/>
      <c r="C1881" s="598"/>
      <c r="D1881" s="598"/>
      <c r="E1881" s="598"/>
      <c r="F1881" s="598"/>
      <c r="G1881" s="598"/>
      <c r="H1881" s="598"/>
    </row>
    <row r="1882" spans="1:8" ht="12.75" customHeight="1">
      <c r="A1882" s="708" t="s">
        <v>617</v>
      </c>
      <c r="B1882" s="710" t="s">
        <v>618</v>
      </c>
      <c r="C1882" s="711" t="s">
        <v>619</v>
      </c>
      <c r="D1882" s="711"/>
      <c r="E1882" s="711"/>
      <c r="F1882" s="711"/>
      <c r="G1882" s="712" t="s">
        <v>620</v>
      </c>
      <c r="H1882" s="708" t="s">
        <v>621</v>
      </c>
    </row>
    <row r="1883" spans="1:8" ht="15.75">
      <c r="A1883" s="708"/>
      <c r="B1883" s="710"/>
      <c r="C1883" s="711"/>
      <c r="D1883" s="711"/>
      <c r="E1883" s="711"/>
      <c r="F1883" s="711"/>
      <c r="G1883" s="712"/>
      <c r="H1883" s="708"/>
    </row>
    <row r="1884" spans="1:8" ht="31.5">
      <c r="A1884" s="708"/>
      <c r="B1884" s="710"/>
      <c r="C1884" s="601" t="s">
        <v>622</v>
      </c>
      <c r="D1884" s="601" t="s">
        <v>623</v>
      </c>
      <c r="E1884" s="602" t="s">
        <v>622</v>
      </c>
      <c r="F1884" s="603" t="s">
        <v>623</v>
      </c>
      <c r="G1884" s="712"/>
      <c r="H1884" s="708"/>
    </row>
    <row r="1885" spans="1:8" ht="15.75">
      <c r="A1885" s="599">
        <v>1</v>
      </c>
      <c r="B1885" s="599">
        <v>2</v>
      </c>
      <c r="C1885" s="604">
        <v>3</v>
      </c>
      <c r="D1885" s="604">
        <v>4</v>
      </c>
      <c r="E1885" s="605"/>
      <c r="F1885" s="606"/>
      <c r="G1885" s="600">
        <v>5</v>
      </c>
      <c r="H1885" s="599">
        <v>6</v>
      </c>
    </row>
    <row r="1886" spans="1:8" ht="12.75" customHeight="1">
      <c r="A1886" s="607">
        <v>1</v>
      </c>
      <c r="B1886" s="709" t="s">
        <v>624</v>
      </c>
      <c r="C1886" s="709"/>
      <c r="D1886" s="709"/>
      <c r="E1886" s="709"/>
      <c r="F1886" s="709"/>
      <c r="G1886" s="709"/>
      <c r="H1886" s="709"/>
    </row>
    <row r="1887" spans="1:8" ht="15.75">
      <c r="A1887" s="608" t="s">
        <v>74</v>
      </c>
      <c r="B1887" s="609" t="s">
        <v>625</v>
      </c>
      <c r="C1887" s="610" t="s">
        <v>379</v>
      </c>
      <c r="D1887" s="610" t="s">
        <v>379</v>
      </c>
      <c r="E1887" s="610" t="s">
        <v>379</v>
      </c>
      <c r="F1887" s="610" t="s">
        <v>379</v>
      </c>
      <c r="G1887" s="610" t="s">
        <v>379</v>
      </c>
      <c r="H1887" s="611" t="s">
        <v>626</v>
      </c>
    </row>
    <row r="1888" spans="1:8" ht="15.75">
      <c r="A1888" s="608" t="s">
        <v>313</v>
      </c>
      <c r="B1888" s="609" t="s">
        <v>627</v>
      </c>
      <c r="C1888" s="610" t="s">
        <v>379</v>
      </c>
      <c r="D1888" s="610" t="s">
        <v>379</v>
      </c>
      <c r="E1888" s="610" t="s">
        <v>379</v>
      </c>
      <c r="F1888" s="610" t="s">
        <v>379</v>
      </c>
      <c r="G1888" s="610" t="s">
        <v>379</v>
      </c>
      <c r="H1888" s="611" t="s">
        <v>626</v>
      </c>
    </row>
    <row r="1889" spans="1:8" ht="31.5">
      <c r="A1889" s="608" t="s">
        <v>315</v>
      </c>
      <c r="B1889" s="612" t="s">
        <v>628</v>
      </c>
      <c r="C1889" s="610" t="s">
        <v>379</v>
      </c>
      <c r="D1889" s="610" t="s">
        <v>379</v>
      </c>
      <c r="E1889" s="610" t="s">
        <v>379</v>
      </c>
      <c r="F1889" s="610" t="s">
        <v>379</v>
      </c>
      <c r="G1889" s="610" t="s">
        <v>379</v>
      </c>
      <c r="H1889" s="611" t="s">
        <v>626</v>
      </c>
    </row>
    <row r="1890" spans="1:8" ht="47.25">
      <c r="A1890" s="608" t="s">
        <v>317</v>
      </c>
      <c r="B1890" s="612" t="s">
        <v>629</v>
      </c>
      <c r="C1890" s="610" t="s">
        <v>379</v>
      </c>
      <c r="D1890" s="610" t="s">
        <v>379</v>
      </c>
      <c r="E1890" s="610" t="s">
        <v>379</v>
      </c>
      <c r="F1890" s="610" t="s">
        <v>379</v>
      </c>
      <c r="G1890" s="610" t="s">
        <v>379</v>
      </c>
      <c r="H1890" s="611" t="s">
        <v>626</v>
      </c>
    </row>
    <row r="1891" spans="1:8" ht="15.75">
      <c r="A1891" s="608" t="s">
        <v>630</v>
      </c>
      <c r="B1891" s="613" t="s">
        <v>631</v>
      </c>
      <c r="C1891" s="610" t="s">
        <v>379</v>
      </c>
      <c r="D1891" s="610" t="s">
        <v>379</v>
      </c>
      <c r="E1891" s="610" t="s">
        <v>379</v>
      </c>
      <c r="F1891" s="610" t="s">
        <v>379</v>
      </c>
      <c r="G1891" s="610" t="s">
        <v>379</v>
      </c>
      <c r="H1891" s="611" t="s">
        <v>626</v>
      </c>
    </row>
    <row r="1892" spans="1:8" ht="15.75">
      <c r="A1892" s="608" t="s">
        <v>632</v>
      </c>
      <c r="B1892" s="613" t="s">
        <v>633</v>
      </c>
      <c r="C1892" s="610" t="s">
        <v>379</v>
      </c>
      <c r="D1892" s="610" t="s">
        <v>379</v>
      </c>
      <c r="E1892" s="610" t="s">
        <v>379</v>
      </c>
      <c r="F1892" s="610" t="s">
        <v>379</v>
      </c>
      <c r="G1892" s="610" t="s">
        <v>379</v>
      </c>
      <c r="H1892" s="611" t="s">
        <v>626</v>
      </c>
    </row>
    <row r="1893" spans="1:8" ht="12.75" customHeight="1">
      <c r="A1893" s="608">
        <v>2</v>
      </c>
      <c r="B1893" s="706" t="s">
        <v>634</v>
      </c>
      <c r="C1893" s="706"/>
      <c r="D1893" s="706"/>
      <c r="E1893" s="706"/>
      <c r="F1893" s="706"/>
      <c r="G1893" s="706"/>
      <c r="H1893" s="706"/>
    </row>
    <row r="1894" spans="1:8" ht="31.5">
      <c r="A1894" s="608" t="s">
        <v>321</v>
      </c>
      <c r="B1894" s="612" t="s">
        <v>635</v>
      </c>
      <c r="C1894" s="610" t="s">
        <v>636</v>
      </c>
      <c r="D1894" s="610" t="s">
        <v>764</v>
      </c>
      <c r="E1894" s="610" t="s">
        <v>379</v>
      </c>
      <c r="F1894" s="610" t="s">
        <v>379</v>
      </c>
      <c r="G1894" s="614">
        <v>0</v>
      </c>
      <c r="H1894" s="611"/>
    </row>
    <row r="1895" spans="1:8" ht="47.25">
      <c r="A1895" s="608" t="s">
        <v>325</v>
      </c>
      <c r="B1895" s="612" t="s">
        <v>638</v>
      </c>
      <c r="C1895" s="610" t="s">
        <v>379</v>
      </c>
      <c r="D1895" s="610" t="s">
        <v>379</v>
      </c>
      <c r="E1895" s="610" t="s">
        <v>379</v>
      </c>
      <c r="F1895" s="610" t="s">
        <v>379</v>
      </c>
      <c r="G1895" s="610" t="s">
        <v>379</v>
      </c>
      <c r="H1895" s="611" t="s">
        <v>626</v>
      </c>
    </row>
    <row r="1896" spans="1:8" ht="31.5">
      <c r="A1896" s="608" t="s">
        <v>639</v>
      </c>
      <c r="B1896" s="612" t="s">
        <v>640</v>
      </c>
      <c r="C1896" s="610" t="s">
        <v>379</v>
      </c>
      <c r="D1896" s="610" t="s">
        <v>379</v>
      </c>
      <c r="E1896" s="610" t="s">
        <v>379</v>
      </c>
      <c r="F1896" s="610" t="s">
        <v>379</v>
      </c>
      <c r="G1896" s="610" t="s">
        <v>379</v>
      </c>
      <c r="H1896" s="611" t="s">
        <v>626</v>
      </c>
    </row>
    <row r="1897" spans="1:8" ht="12.75" customHeight="1">
      <c r="A1897" s="608">
        <v>3</v>
      </c>
      <c r="B1897" s="706" t="s">
        <v>641</v>
      </c>
      <c r="C1897" s="706"/>
      <c r="D1897" s="706"/>
      <c r="E1897" s="706"/>
      <c r="F1897" s="706"/>
      <c r="G1897" s="706"/>
      <c r="H1897" s="706"/>
    </row>
    <row r="1898" spans="1:8" ht="31.5">
      <c r="A1898" s="608" t="s">
        <v>378</v>
      </c>
      <c r="B1898" s="613" t="s">
        <v>642</v>
      </c>
      <c r="C1898" s="610" t="s">
        <v>379</v>
      </c>
      <c r="D1898" s="610" t="s">
        <v>379</v>
      </c>
      <c r="E1898" s="610" t="s">
        <v>379</v>
      </c>
      <c r="F1898" s="610" t="s">
        <v>379</v>
      </c>
      <c r="G1898" s="610" t="s">
        <v>379</v>
      </c>
      <c r="H1898" s="611" t="s">
        <v>626</v>
      </c>
    </row>
    <row r="1899" spans="1:8" ht="15.75">
      <c r="A1899" s="608" t="s">
        <v>643</v>
      </c>
      <c r="B1899" s="613" t="s">
        <v>644</v>
      </c>
      <c r="C1899" s="610" t="s">
        <v>636</v>
      </c>
      <c r="D1899" s="610" t="s">
        <v>723</v>
      </c>
      <c r="E1899" s="610" t="s">
        <v>379</v>
      </c>
      <c r="F1899" s="610" t="s">
        <v>379</v>
      </c>
      <c r="G1899" s="614">
        <v>0</v>
      </c>
      <c r="H1899" s="611"/>
    </row>
    <row r="1900" spans="1:8" ht="15.75">
      <c r="A1900" s="608" t="s">
        <v>380</v>
      </c>
      <c r="B1900" s="613" t="s">
        <v>646</v>
      </c>
      <c r="C1900" s="610" t="s">
        <v>647</v>
      </c>
      <c r="D1900" s="610" t="s">
        <v>765</v>
      </c>
      <c r="E1900" s="610" t="s">
        <v>379</v>
      </c>
      <c r="F1900" s="610" t="s">
        <v>379</v>
      </c>
      <c r="G1900" s="614">
        <v>0</v>
      </c>
      <c r="H1900" s="611"/>
    </row>
    <row r="1901" spans="1:8" ht="15.75">
      <c r="A1901" s="608" t="s">
        <v>649</v>
      </c>
      <c r="B1901" s="613" t="s">
        <v>650</v>
      </c>
      <c r="C1901" s="610" t="s">
        <v>651</v>
      </c>
      <c r="D1901" s="610" t="s">
        <v>766</v>
      </c>
      <c r="E1901" s="610" t="s">
        <v>379</v>
      </c>
      <c r="F1901" s="610" t="s">
        <v>379</v>
      </c>
      <c r="G1901" s="614">
        <v>0</v>
      </c>
      <c r="H1901" s="611"/>
    </row>
    <row r="1902" spans="1:8" ht="15.75">
      <c r="A1902" s="608" t="s">
        <v>653</v>
      </c>
      <c r="B1902" s="613" t="s">
        <v>654</v>
      </c>
      <c r="C1902" s="610" t="s">
        <v>767</v>
      </c>
      <c r="D1902" s="610" t="s">
        <v>726</v>
      </c>
      <c r="E1902" s="610" t="s">
        <v>379</v>
      </c>
      <c r="F1902" s="610" t="s">
        <v>379</v>
      </c>
      <c r="G1902" s="614">
        <v>0</v>
      </c>
      <c r="H1902" s="611"/>
    </row>
    <row r="1903" spans="1:8" ht="12.75" customHeight="1">
      <c r="A1903" s="608">
        <v>4</v>
      </c>
      <c r="B1903" s="706" t="s">
        <v>656</v>
      </c>
      <c r="C1903" s="706"/>
      <c r="D1903" s="706"/>
      <c r="E1903" s="706"/>
      <c r="F1903" s="706"/>
      <c r="G1903" s="706"/>
      <c r="H1903" s="706"/>
    </row>
    <row r="1904" spans="1:8" ht="31.5">
      <c r="A1904" s="608" t="s">
        <v>657</v>
      </c>
      <c r="B1904" s="612" t="s">
        <v>658</v>
      </c>
      <c r="C1904" s="610" t="s">
        <v>379</v>
      </c>
      <c r="D1904" s="610" t="s">
        <v>379</v>
      </c>
      <c r="E1904" s="610" t="s">
        <v>379</v>
      </c>
      <c r="F1904" s="610" t="s">
        <v>379</v>
      </c>
      <c r="G1904" s="610" t="s">
        <v>379</v>
      </c>
      <c r="H1904" s="611" t="s">
        <v>626</v>
      </c>
    </row>
    <row r="1905" spans="1:8" ht="47.25">
      <c r="A1905" s="608" t="s">
        <v>659</v>
      </c>
      <c r="B1905" s="612" t="s">
        <v>660</v>
      </c>
      <c r="C1905" s="610" t="s">
        <v>379</v>
      </c>
      <c r="D1905" s="610" t="s">
        <v>379</v>
      </c>
      <c r="E1905" s="610" t="s">
        <v>379</v>
      </c>
      <c r="F1905" s="610" t="s">
        <v>379</v>
      </c>
      <c r="G1905" s="610" t="s">
        <v>379</v>
      </c>
      <c r="H1905" s="611" t="s">
        <v>626</v>
      </c>
    </row>
    <row r="1906" spans="1:8" ht="31.5">
      <c r="A1906" s="608" t="s">
        <v>661</v>
      </c>
      <c r="B1906" s="613" t="s">
        <v>662</v>
      </c>
      <c r="C1906" s="610" t="s">
        <v>379</v>
      </c>
      <c r="D1906" s="610" t="s">
        <v>379</v>
      </c>
      <c r="E1906" s="610" t="s">
        <v>379</v>
      </c>
      <c r="F1906" s="610" t="s">
        <v>379</v>
      </c>
      <c r="G1906" s="610" t="s">
        <v>379</v>
      </c>
      <c r="H1906" s="611" t="s">
        <v>626</v>
      </c>
    </row>
    <row r="1907" spans="1:8" ht="31.5">
      <c r="A1907" s="615" t="s">
        <v>663</v>
      </c>
      <c r="B1907" s="616" t="s">
        <v>664</v>
      </c>
      <c r="C1907" s="617" t="s">
        <v>379</v>
      </c>
      <c r="D1907" s="617" t="s">
        <v>379</v>
      </c>
      <c r="E1907" s="617" t="s">
        <v>379</v>
      </c>
      <c r="F1907" s="617" t="s">
        <v>379</v>
      </c>
      <c r="G1907" s="617" t="s">
        <v>379</v>
      </c>
      <c r="H1907" s="618" t="s">
        <v>626</v>
      </c>
    </row>
    <row r="1908" spans="1:8" ht="15.75">
      <c r="A1908" s="619"/>
      <c r="B1908" s="620"/>
      <c r="C1908" s="621"/>
      <c r="D1908" s="621"/>
      <c r="E1908" s="621"/>
      <c r="F1908" s="621"/>
      <c r="G1908" s="621"/>
      <c r="H1908" s="148"/>
    </row>
    <row r="1909" spans="1:8" ht="12.75" customHeight="1">
      <c r="A1909" s="707" t="s">
        <v>665</v>
      </c>
      <c r="B1909" s="707"/>
      <c r="C1909" s="707"/>
      <c r="D1909" s="707"/>
      <c r="E1909" s="707"/>
      <c r="F1909" s="707"/>
      <c r="G1909" s="707"/>
      <c r="H1909" s="707"/>
    </row>
    <row r="1915" ht="15.75">
      <c r="H1915" s="11" t="s">
        <v>609</v>
      </c>
    </row>
    <row r="1916" ht="15.75">
      <c r="H1916" s="11" t="s">
        <v>610</v>
      </c>
    </row>
    <row r="1917" ht="15.75">
      <c r="H1917" s="11" t="s">
        <v>611</v>
      </c>
    </row>
    <row r="1918" ht="15.75">
      <c r="H1918" s="11"/>
    </row>
    <row r="1919" spans="1:8" ht="12.75" customHeight="1">
      <c r="A1919" s="713" t="s">
        <v>612</v>
      </c>
      <c r="B1919" s="713"/>
      <c r="C1919" s="713"/>
      <c r="D1919" s="713"/>
      <c r="E1919" s="713"/>
      <c r="F1919" s="713"/>
      <c r="G1919" s="713"/>
      <c r="H1919" s="713"/>
    </row>
    <row r="1920" spans="1:8" ht="12.75" customHeight="1">
      <c r="A1920" s="713" t="s">
        <v>613</v>
      </c>
      <c r="B1920" s="713"/>
      <c r="C1920" s="713"/>
      <c r="D1920" s="713"/>
      <c r="E1920" s="713"/>
      <c r="F1920" s="713"/>
      <c r="G1920" s="713"/>
      <c r="H1920" s="713"/>
    </row>
    <row r="1921" ht="15.75">
      <c r="H1921" s="11" t="s">
        <v>43</v>
      </c>
    </row>
    <row r="1922" ht="15.75">
      <c r="H1922" s="11" t="s">
        <v>44</v>
      </c>
    </row>
    <row r="1923" ht="15.75">
      <c r="H1923" s="11" t="s">
        <v>45</v>
      </c>
    </row>
    <row r="1924" ht="15.75">
      <c r="H1924" s="594" t="s">
        <v>614</v>
      </c>
    </row>
    <row r="1925" ht="15.75">
      <c r="H1925" s="11" t="s">
        <v>615</v>
      </c>
    </row>
    <row r="1926" ht="15.75">
      <c r="H1926" s="11" t="s">
        <v>47</v>
      </c>
    </row>
    <row r="1927" ht="15.75">
      <c r="A1927" s="595"/>
    </row>
    <row r="1928" ht="15.75">
      <c r="A1928" s="3" t="s">
        <v>768</v>
      </c>
    </row>
    <row r="1929" spans="1:8" ht="12.75" customHeight="1">
      <c r="A1929" s="717" t="s">
        <v>0</v>
      </c>
      <c r="B1929" s="714"/>
      <c r="C1929" s="714"/>
      <c r="D1929" s="714"/>
      <c r="E1929" s="714"/>
      <c r="F1929" s="714"/>
      <c r="G1929" s="714"/>
      <c r="H1929" s="714"/>
    </row>
    <row r="1930" spans="1:8" ht="16.5" thickBot="1">
      <c r="A1930" s="597"/>
      <c r="B1930" s="597"/>
      <c r="C1930" s="598"/>
      <c r="D1930" s="598"/>
      <c r="E1930" s="598"/>
      <c r="F1930" s="598"/>
      <c r="G1930" s="598"/>
      <c r="H1930" s="598"/>
    </row>
    <row r="1931" spans="1:8" ht="12.75" customHeight="1">
      <c r="A1931" s="708" t="s">
        <v>617</v>
      </c>
      <c r="B1931" s="710" t="s">
        <v>618</v>
      </c>
      <c r="C1931" s="711" t="s">
        <v>619</v>
      </c>
      <c r="D1931" s="711"/>
      <c r="E1931" s="711"/>
      <c r="F1931" s="711"/>
      <c r="G1931" s="712" t="s">
        <v>620</v>
      </c>
      <c r="H1931" s="708" t="s">
        <v>621</v>
      </c>
    </row>
    <row r="1932" spans="1:8" ht="15.75">
      <c r="A1932" s="708"/>
      <c r="B1932" s="710"/>
      <c r="C1932" s="711"/>
      <c r="D1932" s="711"/>
      <c r="E1932" s="711"/>
      <c r="F1932" s="711"/>
      <c r="G1932" s="712"/>
      <c r="H1932" s="708"/>
    </row>
    <row r="1933" spans="1:8" ht="31.5">
      <c r="A1933" s="708"/>
      <c r="B1933" s="710"/>
      <c r="C1933" s="601" t="s">
        <v>622</v>
      </c>
      <c r="D1933" s="601" t="s">
        <v>623</v>
      </c>
      <c r="E1933" s="602" t="s">
        <v>622</v>
      </c>
      <c r="F1933" s="603" t="s">
        <v>623</v>
      </c>
      <c r="G1933" s="712"/>
      <c r="H1933" s="708"/>
    </row>
    <row r="1934" spans="1:8" ht="15.75">
      <c r="A1934" s="599">
        <v>1</v>
      </c>
      <c r="B1934" s="599">
        <v>2</v>
      </c>
      <c r="C1934" s="604">
        <v>3</v>
      </c>
      <c r="D1934" s="604">
        <v>4</v>
      </c>
      <c r="E1934" s="605"/>
      <c r="F1934" s="606"/>
      <c r="G1934" s="600">
        <v>5</v>
      </c>
      <c r="H1934" s="599">
        <v>6</v>
      </c>
    </row>
    <row r="1935" spans="1:8" ht="12.75" customHeight="1">
      <c r="A1935" s="607">
        <v>1</v>
      </c>
      <c r="B1935" s="709" t="s">
        <v>624</v>
      </c>
      <c r="C1935" s="709"/>
      <c r="D1935" s="709"/>
      <c r="E1935" s="709"/>
      <c r="F1935" s="709"/>
      <c r="G1935" s="709"/>
      <c r="H1935" s="709"/>
    </row>
    <row r="1936" spans="1:8" ht="15.75">
      <c r="A1936" s="608" t="s">
        <v>74</v>
      </c>
      <c r="B1936" s="609" t="s">
        <v>625</v>
      </c>
      <c r="C1936" s="610" t="s">
        <v>379</v>
      </c>
      <c r="D1936" s="610" t="s">
        <v>379</v>
      </c>
      <c r="E1936" s="610" t="s">
        <v>379</v>
      </c>
      <c r="F1936" s="610" t="s">
        <v>379</v>
      </c>
      <c r="G1936" s="610" t="s">
        <v>379</v>
      </c>
      <c r="H1936" s="611" t="s">
        <v>626</v>
      </c>
    </row>
    <row r="1937" spans="1:8" ht="15.75">
      <c r="A1937" s="608" t="s">
        <v>313</v>
      </c>
      <c r="B1937" s="609" t="s">
        <v>627</v>
      </c>
      <c r="C1937" s="610" t="s">
        <v>379</v>
      </c>
      <c r="D1937" s="610" t="s">
        <v>379</v>
      </c>
      <c r="E1937" s="610" t="s">
        <v>379</v>
      </c>
      <c r="F1937" s="610" t="s">
        <v>379</v>
      </c>
      <c r="G1937" s="610" t="s">
        <v>379</v>
      </c>
      <c r="H1937" s="611" t="s">
        <v>626</v>
      </c>
    </row>
    <row r="1938" spans="1:8" ht="31.5">
      <c r="A1938" s="608" t="s">
        <v>315</v>
      </c>
      <c r="B1938" s="612" t="s">
        <v>628</v>
      </c>
      <c r="C1938" s="610" t="s">
        <v>379</v>
      </c>
      <c r="D1938" s="610" t="s">
        <v>379</v>
      </c>
      <c r="E1938" s="610" t="s">
        <v>379</v>
      </c>
      <c r="F1938" s="610" t="s">
        <v>379</v>
      </c>
      <c r="G1938" s="610" t="s">
        <v>379</v>
      </c>
      <c r="H1938" s="611" t="s">
        <v>626</v>
      </c>
    </row>
    <row r="1939" spans="1:8" ht="47.25">
      <c r="A1939" s="608" t="s">
        <v>317</v>
      </c>
      <c r="B1939" s="612" t="s">
        <v>629</v>
      </c>
      <c r="C1939" s="610" t="s">
        <v>379</v>
      </c>
      <c r="D1939" s="610" t="s">
        <v>379</v>
      </c>
      <c r="E1939" s="610" t="s">
        <v>379</v>
      </c>
      <c r="F1939" s="610" t="s">
        <v>379</v>
      </c>
      <c r="G1939" s="610" t="s">
        <v>379</v>
      </c>
      <c r="H1939" s="611" t="s">
        <v>626</v>
      </c>
    </row>
    <row r="1940" spans="1:8" ht="15.75">
      <c r="A1940" s="608" t="s">
        <v>630</v>
      </c>
      <c r="B1940" s="613" t="s">
        <v>631</v>
      </c>
      <c r="C1940" s="610" t="s">
        <v>379</v>
      </c>
      <c r="D1940" s="610" t="s">
        <v>379</v>
      </c>
      <c r="E1940" s="610" t="s">
        <v>379</v>
      </c>
      <c r="F1940" s="610" t="s">
        <v>379</v>
      </c>
      <c r="G1940" s="610" t="s">
        <v>379</v>
      </c>
      <c r="H1940" s="611" t="s">
        <v>626</v>
      </c>
    </row>
    <row r="1941" spans="1:8" ht="15.75">
      <c r="A1941" s="608" t="s">
        <v>632</v>
      </c>
      <c r="B1941" s="613" t="s">
        <v>633</v>
      </c>
      <c r="C1941" s="610" t="s">
        <v>379</v>
      </c>
      <c r="D1941" s="610" t="s">
        <v>379</v>
      </c>
      <c r="E1941" s="610" t="s">
        <v>379</v>
      </c>
      <c r="F1941" s="610" t="s">
        <v>379</v>
      </c>
      <c r="G1941" s="610" t="s">
        <v>379</v>
      </c>
      <c r="H1941" s="611" t="s">
        <v>626</v>
      </c>
    </row>
    <row r="1942" spans="1:8" ht="18" customHeight="1">
      <c r="A1942" s="608">
        <v>2</v>
      </c>
      <c r="B1942" s="706" t="s">
        <v>634</v>
      </c>
      <c r="C1942" s="706"/>
      <c r="D1942" s="706"/>
      <c r="E1942" s="706"/>
      <c r="F1942" s="706"/>
      <c r="G1942" s="706"/>
      <c r="H1942" s="706"/>
    </row>
    <row r="1943" spans="1:8" ht="31.5">
      <c r="A1943" s="608" t="s">
        <v>321</v>
      </c>
      <c r="B1943" s="612" t="s">
        <v>635</v>
      </c>
      <c r="C1943" s="610" t="s">
        <v>676</v>
      </c>
      <c r="D1943" s="610" t="s">
        <v>667</v>
      </c>
      <c r="E1943" s="610" t="s">
        <v>379</v>
      </c>
      <c r="F1943" s="610" t="s">
        <v>379</v>
      </c>
      <c r="G1943" s="614">
        <v>0</v>
      </c>
      <c r="H1943" s="611"/>
    </row>
    <row r="1944" spans="1:8" ht="47.25">
      <c r="A1944" s="608" t="s">
        <v>325</v>
      </c>
      <c r="B1944" s="612" t="s">
        <v>638</v>
      </c>
      <c r="C1944" s="610" t="s">
        <v>379</v>
      </c>
      <c r="D1944" s="610" t="s">
        <v>379</v>
      </c>
      <c r="E1944" s="610" t="s">
        <v>379</v>
      </c>
      <c r="F1944" s="610" t="s">
        <v>379</v>
      </c>
      <c r="G1944" s="610" t="s">
        <v>379</v>
      </c>
      <c r="H1944" s="611" t="s">
        <v>626</v>
      </c>
    </row>
    <row r="1945" spans="1:8" ht="31.5">
      <c r="A1945" s="608" t="s">
        <v>639</v>
      </c>
      <c r="B1945" s="612" t="s">
        <v>640</v>
      </c>
      <c r="C1945" s="610" t="s">
        <v>379</v>
      </c>
      <c r="D1945" s="610" t="s">
        <v>379</v>
      </c>
      <c r="E1945" s="610" t="s">
        <v>379</v>
      </c>
      <c r="F1945" s="610" t="s">
        <v>379</v>
      </c>
      <c r="G1945" s="610" t="s">
        <v>379</v>
      </c>
      <c r="H1945" s="611" t="s">
        <v>626</v>
      </c>
    </row>
    <row r="1946" spans="1:8" ht="12.75" customHeight="1">
      <c r="A1946" s="608">
        <v>3</v>
      </c>
      <c r="B1946" s="706" t="s">
        <v>641</v>
      </c>
      <c r="C1946" s="706"/>
      <c r="D1946" s="706"/>
      <c r="E1946" s="706"/>
      <c r="F1946" s="706"/>
      <c r="G1946" s="706"/>
      <c r="H1946" s="706"/>
    </row>
    <row r="1947" spans="1:8" ht="31.5">
      <c r="A1947" s="608" t="s">
        <v>378</v>
      </c>
      <c r="B1947" s="613" t="s">
        <v>642</v>
      </c>
      <c r="C1947" s="610" t="s">
        <v>379</v>
      </c>
      <c r="D1947" s="610" t="s">
        <v>379</v>
      </c>
      <c r="E1947" s="610" t="s">
        <v>379</v>
      </c>
      <c r="F1947" s="610" t="s">
        <v>379</v>
      </c>
      <c r="G1947" s="610" t="s">
        <v>379</v>
      </c>
      <c r="H1947" s="611" t="s">
        <v>626</v>
      </c>
    </row>
    <row r="1948" spans="1:8" ht="15.75">
      <c r="A1948" s="608" t="s">
        <v>643</v>
      </c>
      <c r="B1948" s="613" t="s">
        <v>644</v>
      </c>
      <c r="C1948" s="610" t="s">
        <v>676</v>
      </c>
      <c r="D1948" s="610" t="s">
        <v>637</v>
      </c>
      <c r="E1948" s="610" t="s">
        <v>379</v>
      </c>
      <c r="F1948" s="610" t="s">
        <v>379</v>
      </c>
      <c r="G1948" s="614">
        <v>0</v>
      </c>
      <c r="H1948" s="611"/>
    </row>
    <row r="1949" spans="1:8" ht="15.75">
      <c r="A1949" s="608" t="s">
        <v>380</v>
      </c>
      <c r="B1949" s="613" t="s">
        <v>646</v>
      </c>
      <c r="C1949" s="610" t="s">
        <v>679</v>
      </c>
      <c r="D1949" s="610" t="s">
        <v>668</v>
      </c>
      <c r="E1949" s="610" t="s">
        <v>379</v>
      </c>
      <c r="F1949" s="610" t="s">
        <v>379</v>
      </c>
      <c r="G1949" s="614">
        <v>0</v>
      </c>
      <c r="H1949" s="611"/>
    </row>
    <row r="1950" spans="1:8" ht="15.75">
      <c r="A1950" s="608" t="s">
        <v>649</v>
      </c>
      <c r="B1950" s="613" t="s">
        <v>650</v>
      </c>
      <c r="C1950" s="610" t="s">
        <v>681</v>
      </c>
      <c r="D1950" s="610" t="s">
        <v>769</v>
      </c>
      <c r="E1950" s="610" t="s">
        <v>379</v>
      </c>
      <c r="F1950" s="610" t="s">
        <v>379</v>
      </c>
      <c r="G1950" s="614">
        <v>0</v>
      </c>
      <c r="H1950" s="611"/>
    </row>
    <row r="1951" spans="1:8" ht="15.75">
      <c r="A1951" s="608" t="s">
        <v>653</v>
      </c>
      <c r="B1951" s="613" t="s">
        <v>654</v>
      </c>
      <c r="C1951" s="610" t="s">
        <v>770</v>
      </c>
      <c r="D1951" s="610" t="s">
        <v>667</v>
      </c>
      <c r="E1951" s="610" t="s">
        <v>379</v>
      </c>
      <c r="F1951" s="610" t="s">
        <v>379</v>
      </c>
      <c r="G1951" s="614">
        <v>0</v>
      </c>
      <c r="H1951" s="611"/>
    </row>
    <row r="1952" spans="1:8" ht="12.75" customHeight="1">
      <c r="A1952" s="608">
        <v>4</v>
      </c>
      <c r="B1952" s="706" t="s">
        <v>656</v>
      </c>
      <c r="C1952" s="706"/>
      <c r="D1952" s="706"/>
      <c r="E1952" s="706"/>
      <c r="F1952" s="706"/>
      <c r="G1952" s="706"/>
      <c r="H1952" s="706"/>
    </row>
    <row r="1953" spans="1:8" ht="31.5">
      <c r="A1953" s="608" t="s">
        <v>657</v>
      </c>
      <c r="B1953" s="612" t="s">
        <v>658</v>
      </c>
      <c r="C1953" s="610" t="s">
        <v>379</v>
      </c>
      <c r="D1953" s="610" t="s">
        <v>379</v>
      </c>
      <c r="E1953" s="610" t="s">
        <v>379</v>
      </c>
      <c r="F1953" s="610" t="s">
        <v>379</v>
      </c>
      <c r="G1953" s="610" t="s">
        <v>379</v>
      </c>
      <c r="H1953" s="611" t="s">
        <v>626</v>
      </c>
    </row>
    <row r="1954" spans="1:8" ht="47.25">
      <c r="A1954" s="608" t="s">
        <v>659</v>
      </c>
      <c r="B1954" s="612" t="s">
        <v>660</v>
      </c>
      <c r="C1954" s="610" t="s">
        <v>379</v>
      </c>
      <c r="D1954" s="610" t="s">
        <v>379</v>
      </c>
      <c r="E1954" s="610" t="s">
        <v>379</v>
      </c>
      <c r="F1954" s="610" t="s">
        <v>379</v>
      </c>
      <c r="G1954" s="610" t="s">
        <v>379</v>
      </c>
      <c r="H1954" s="611" t="s">
        <v>626</v>
      </c>
    </row>
    <row r="1955" spans="1:8" ht="31.5">
      <c r="A1955" s="608" t="s">
        <v>661</v>
      </c>
      <c r="B1955" s="613" t="s">
        <v>662</v>
      </c>
      <c r="C1955" s="610" t="s">
        <v>379</v>
      </c>
      <c r="D1955" s="610" t="s">
        <v>379</v>
      </c>
      <c r="E1955" s="610" t="s">
        <v>379</v>
      </c>
      <c r="F1955" s="610" t="s">
        <v>379</v>
      </c>
      <c r="G1955" s="610" t="s">
        <v>379</v>
      </c>
      <c r="H1955" s="611" t="s">
        <v>626</v>
      </c>
    </row>
    <row r="1956" spans="1:8" ht="31.5">
      <c r="A1956" s="615" t="s">
        <v>663</v>
      </c>
      <c r="B1956" s="616" t="s">
        <v>664</v>
      </c>
      <c r="C1956" s="617" t="s">
        <v>379</v>
      </c>
      <c r="D1956" s="617" t="s">
        <v>379</v>
      </c>
      <c r="E1956" s="617" t="s">
        <v>379</v>
      </c>
      <c r="F1956" s="617" t="s">
        <v>379</v>
      </c>
      <c r="G1956" s="617" t="s">
        <v>379</v>
      </c>
      <c r="H1956" s="618" t="s">
        <v>626</v>
      </c>
    </row>
    <row r="1957" spans="1:8" ht="15.75">
      <c r="A1957" s="619"/>
      <c r="B1957" s="620"/>
      <c r="C1957" s="621"/>
      <c r="D1957" s="621"/>
      <c r="E1957" s="621"/>
      <c r="F1957" s="621"/>
      <c r="G1957" s="621"/>
      <c r="H1957" s="148"/>
    </row>
    <row r="1958" spans="1:8" ht="12.75" customHeight="1">
      <c r="A1958" s="707" t="s">
        <v>665</v>
      </c>
      <c r="B1958" s="707"/>
      <c r="C1958" s="707"/>
      <c r="D1958" s="707"/>
      <c r="E1958" s="707"/>
      <c r="F1958" s="707"/>
      <c r="G1958" s="707"/>
      <c r="H1958" s="707"/>
    </row>
    <row r="1962" ht="15.75">
      <c r="H1962" s="11" t="s">
        <v>609</v>
      </c>
    </row>
    <row r="1963" ht="15.75">
      <c r="H1963" s="11" t="s">
        <v>610</v>
      </c>
    </row>
    <row r="1964" ht="15.75">
      <c r="H1964" s="11" t="s">
        <v>611</v>
      </c>
    </row>
    <row r="1965" ht="15.75">
      <c r="H1965" s="11"/>
    </row>
    <row r="1966" spans="1:8" ht="12.75" customHeight="1">
      <c r="A1966" s="713" t="s">
        <v>612</v>
      </c>
      <c r="B1966" s="713"/>
      <c r="C1966" s="713"/>
      <c r="D1966" s="713"/>
      <c r="E1966" s="713"/>
      <c r="F1966" s="713"/>
      <c r="G1966" s="713"/>
      <c r="H1966" s="713"/>
    </row>
    <row r="1967" spans="1:8" ht="12.75" customHeight="1">
      <c r="A1967" s="713" t="s">
        <v>613</v>
      </c>
      <c r="B1967" s="713"/>
      <c r="C1967" s="713"/>
      <c r="D1967" s="713"/>
      <c r="E1967" s="713"/>
      <c r="F1967" s="713"/>
      <c r="G1967" s="713"/>
      <c r="H1967" s="713"/>
    </row>
    <row r="1968" ht="15.75">
      <c r="H1968" s="11" t="s">
        <v>43</v>
      </c>
    </row>
    <row r="1969" ht="15.75">
      <c r="H1969" s="11" t="s">
        <v>44</v>
      </c>
    </row>
    <row r="1970" ht="15.75">
      <c r="H1970" s="11" t="s">
        <v>45</v>
      </c>
    </row>
    <row r="1971" ht="15.75">
      <c r="H1971" s="594" t="s">
        <v>614</v>
      </c>
    </row>
    <row r="1972" ht="15.75">
      <c r="H1972" s="11" t="s">
        <v>615</v>
      </c>
    </row>
    <row r="1973" ht="15.75">
      <c r="H1973" s="11" t="s">
        <v>47</v>
      </c>
    </row>
    <row r="1974" ht="15.75">
      <c r="A1974" s="595"/>
    </row>
    <row r="1975" ht="15.75">
      <c r="A1975" s="3" t="s">
        <v>771</v>
      </c>
    </row>
    <row r="1976" spans="1:8" ht="12.75" customHeight="1">
      <c r="A1976" s="717" t="s">
        <v>0</v>
      </c>
      <c r="B1976" s="714"/>
      <c r="C1976" s="714"/>
      <c r="D1976" s="714"/>
      <c r="E1976" s="714"/>
      <c r="F1976" s="714"/>
      <c r="G1976" s="714"/>
      <c r="H1976" s="714"/>
    </row>
    <row r="1977" spans="1:8" ht="16.5" thickBot="1">
      <c r="A1977" s="597"/>
      <c r="B1977" s="597"/>
      <c r="C1977" s="598"/>
      <c r="D1977" s="598"/>
      <c r="E1977" s="598"/>
      <c r="F1977" s="598"/>
      <c r="G1977" s="598"/>
      <c r="H1977" s="598"/>
    </row>
    <row r="1978" spans="1:8" ht="12.75" customHeight="1">
      <c r="A1978" s="708" t="s">
        <v>617</v>
      </c>
      <c r="B1978" s="710" t="s">
        <v>618</v>
      </c>
      <c r="C1978" s="711" t="s">
        <v>619</v>
      </c>
      <c r="D1978" s="711"/>
      <c r="E1978" s="711"/>
      <c r="F1978" s="711"/>
      <c r="G1978" s="712" t="s">
        <v>620</v>
      </c>
      <c r="H1978" s="708" t="s">
        <v>621</v>
      </c>
    </row>
    <row r="1979" spans="1:8" ht="15.75">
      <c r="A1979" s="708"/>
      <c r="B1979" s="710"/>
      <c r="C1979" s="711"/>
      <c r="D1979" s="711"/>
      <c r="E1979" s="711"/>
      <c r="F1979" s="711"/>
      <c r="G1979" s="712"/>
      <c r="H1979" s="708"/>
    </row>
    <row r="1980" spans="1:8" ht="31.5">
      <c r="A1980" s="708"/>
      <c r="B1980" s="710"/>
      <c r="C1980" s="601" t="s">
        <v>622</v>
      </c>
      <c r="D1980" s="601" t="s">
        <v>623</v>
      </c>
      <c r="E1980" s="602" t="s">
        <v>622</v>
      </c>
      <c r="F1980" s="603" t="s">
        <v>623</v>
      </c>
      <c r="G1980" s="712"/>
      <c r="H1980" s="708"/>
    </row>
    <row r="1981" spans="1:8" ht="15.75">
      <c r="A1981" s="599">
        <v>1</v>
      </c>
      <c r="B1981" s="599">
        <v>2</v>
      </c>
      <c r="C1981" s="604">
        <v>3</v>
      </c>
      <c r="D1981" s="604">
        <v>4</v>
      </c>
      <c r="E1981" s="605"/>
      <c r="F1981" s="606"/>
      <c r="G1981" s="600">
        <v>5</v>
      </c>
      <c r="H1981" s="599">
        <v>6</v>
      </c>
    </row>
    <row r="1982" spans="1:8" ht="12.75" customHeight="1">
      <c r="A1982" s="607">
        <v>1</v>
      </c>
      <c r="B1982" s="709" t="s">
        <v>624</v>
      </c>
      <c r="C1982" s="709"/>
      <c r="D1982" s="709"/>
      <c r="E1982" s="709"/>
      <c r="F1982" s="709"/>
      <c r="G1982" s="709"/>
      <c r="H1982" s="709"/>
    </row>
    <row r="1983" spans="1:8" ht="15.75">
      <c r="A1983" s="608" t="s">
        <v>74</v>
      </c>
      <c r="B1983" s="609" t="s">
        <v>625</v>
      </c>
      <c r="C1983" s="610" t="s">
        <v>379</v>
      </c>
      <c r="D1983" s="610" t="s">
        <v>379</v>
      </c>
      <c r="E1983" s="610" t="s">
        <v>379</v>
      </c>
      <c r="F1983" s="610" t="s">
        <v>379</v>
      </c>
      <c r="G1983" s="610" t="s">
        <v>379</v>
      </c>
      <c r="H1983" s="611" t="s">
        <v>626</v>
      </c>
    </row>
    <row r="1984" spans="1:8" ht="15.75">
      <c r="A1984" s="608" t="s">
        <v>313</v>
      </c>
      <c r="B1984" s="609" t="s">
        <v>627</v>
      </c>
      <c r="C1984" s="610" t="s">
        <v>379</v>
      </c>
      <c r="D1984" s="610" t="s">
        <v>379</v>
      </c>
      <c r="E1984" s="610" t="s">
        <v>379</v>
      </c>
      <c r="F1984" s="610" t="s">
        <v>379</v>
      </c>
      <c r="G1984" s="610" t="s">
        <v>379</v>
      </c>
      <c r="H1984" s="611" t="s">
        <v>626</v>
      </c>
    </row>
    <row r="1985" spans="1:8" ht="31.5">
      <c r="A1985" s="608" t="s">
        <v>315</v>
      </c>
      <c r="B1985" s="612" t="s">
        <v>628</v>
      </c>
      <c r="C1985" s="610" t="s">
        <v>379</v>
      </c>
      <c r="D1985" s="610" t="s">
        <v>379</v>
      </c>
      <c r="E1985" s="610" t="s">
        <v>379</v>
      </c>
      <c r="F1985" s="610" t="s">
        <v>379</v>
      </c>
      <c r="G1985" s="610" t="s">
        <v>379</v>
      </c>
      <c r="H1985" s="611" t="s">
        <v>626</v>
      </c>
    </row>
    <row r="1986" spans="1:8" ht="47.25">
      <c r="A1986" s="608" t="s">
        <v>317</v>
      </c>
      <c r="B1986" s="612" t="s">
        <v>629</v>
      </c>
      <c r="C1986" s="610" t="s">
        <v>379</v>
      </c>
      <c r="D1986" s="610" t="s">
        <v>379</v>
      </c>
      <c r="E1986" s="610" t="s">
        <v>379</v>
      </c>
      <c r="F1986" s="610" t="s">
        <v>379</v>
      </c>
      <c r="G1986" s="610" t="s">
        <v>379</v>
      </c>
      <c r="H1986" s="611" t="s">
        <v>626</v>
      </c>
    </row>
    <row r="1987" spans="1:8" ht="15.75">
      <c r="A1987" s="608" t="s">
        <v>630</v>
      </c>
      <c r="B1987" s="613" t="s">
        <v>631</v>
      </c>
      <c r="C1987" s="610" t="s">
        <v>379</v>
      </c>
      <c r="D1987" s="610" t="s">
        <v>379</v>
      </c>
      <c r="E1987" s="610" t="s">
        <v>379</v>
      </c>
      <c r="F1987" s="610" t="s">
        <v>379</v>
      </c>
      <c r="G1987" s="610" t="s">
        <v>379</v>
      </c>
      <c r="H1987" s="611" t="s">
        <v>626</v>
      </c>
    </row>
    <row r="1988" spans="1:8" ht="15.75">
      <c r="A1988" s="608" t="s">
        <v>632</v>
      </c>
      <c r="B1988" s="613" t="s">
        <v>633</v>
      </c>
      <c r="C1988" s="610" t="s">
        <v>379</v>
      </c>
      <c r="D1988" s="610" t="s">
        <v>379</v>
      </c>
      <c r="E1988" s="610" t="s">
        <v>379</v>
      </c>
      <c r="F1988" s="610" t="s">
        <v>379</v>
      </c>
      <c r="G1988" s="610" t="s">
        <v>379</v>
      </c>
      <c r="H1988" s="611" t="s">
        <v>626</v>
      </c>
    </row>
    <row r="1989" spans="1:8" ht="12.75" customHeight="1">
      <c r="A1989" s="608">
        <v>2</v>
      </c>
      <c r="B1989" s="706" t="s">
        <v>634</v>
      </c>
      <c r="C1989" s="706"/>
      <c r="D1989" s="706"/>
      <c r="E1989" s="706"/>
      <c r="F1989" s="706"/>
      <c r="G1989" s="706"/>
      <c r="H1989" s="706"/>
    </row>
    <row r="1990" spans="1:8" ht="31.5">
      <c r="A1990" s="608" t="s">
        <v>321</v>
      </c>
      <c r="B1990" s="612" t="s">
        <v>635</v>
      </c>
      <c r="C1990" s="610" t="s">
        <v>676</v>
      </c>
      <c r="D1990" s="610" t="s">
        <v>677</v>
      </c>
      <c r="E1990" s="610" t="s">
        <v>379</v>
      </c>
      <c r="F1990" s="610" t="s">
        <v>379</v>
      </c>
      <c r="G1990" s="614">
        <v>0</v>
      </c>
      <c r="H1990" s="611"/>
    </row>
    <row r="1991" spans="1:8" ht="47.25">
      <c r="A1991" s="608" t="s">
        <v>325</v>
      </c>
      <c r="B1991" s="612" t="s">
        <v>638</v>
      </c>
      <c r="C1991" s="610" t="s">
        <v>379</v>
      </c>
      <c r="D1991" s="610" t="s">
        <v>379</v>
      </c>
      <c r="E1991" s="610" t="s">
        <v>379</v>
      </c>
      <c r="F1991" s="610" t="s">
        <v>379</v>
      </c>
      <c r="G1991" s="610" t="s">
        <v>379</v>
      </c>
      <c r="H1991" s="611" t="s">
        <v>626</v>
      </c>
    </row>
    <row r="1992" spans="1:8" ht="31.5">
      <c r="A1992" s="608" t="s">
        <v>639</v>
      </c>
      <c r="B1992" s="612" t="s">
        <v>640</v>
      </c>
      <c r="C1992" s="610" t="s">
        <v>379</v>
      </c>
      <c r="D1992" s="610" t="s">
        <v>379</v>
      </c>
      <c r="E1992" s="610" t="s">
        <v>379</v>
      </c>
      <c r="F1992" s="610" t="s">
        <v>379</v>
      </c>
      <c r="G1992" s="610" t="s">
        <v>379</v>
      </c>
      <c r="H1992" s="611" t="s">
        <v>626</v>
      </c>
    </row>
    <row r="1993" spans="1:8" ht="12.75" customHeight="1">
      <c r="A1993" s="608">
        <v>3</v>
      </c>
      <c r="B1993" s="706" t="s">
        <v>641</v>
      </c>
      <c r="C1993" s="706"/>
      <c r="D1993" s="706"/>
      <c r="E1993" s="706"/>
      <c r="F1993" s="706"/>
      <c r="G1993" s="706"/>
      <c r="H1993" s="706"/>
    </row>
    <row r="1994" spans="1:8" ht="31.5">
      <c r="A1994" s="608" t="s">
        <v>378</v>
      </c>
      <c r="B1994" s="613" t="s">
        <v>642</v>
      </c>
      <c r="C1994" s="610" t="s">
        <v>379</v>
      </c>
      <c r="D1994" s="610" t="s">
        <v>379</v>
      </c>
      <c r="E1994" s="610" t="s">
        <v>379</v>
      </c>
      <c r="F1994" s="610" t="s">
        <v>379</v>
      </c>
      <c r="G1994" s="610" t="s">
        <v>379</v>
      </c>
      <c r="H1994" s="611" t="s">
        <v>626</v>
      </c>
    </row>
    <row r="1995" spans="1:8" ht="15.75">
      <c r="A1995" s="608" t="s">
        <v>643</v>
      </c>
      <c r="B1995" s="613" t="s">
        <v>644</v>
      </c>
      <c r="C1995" s="610" t="s">
        <v>676</v>
      </c>
      <c r="D1995" s="610" t="s">
        <v>678</v>
      </c>
      <c r="E1995" s="610" t="s">
        <v>379</v>
      </c>
      <c r="F1995" s="610" t="s">
        <v>379</v>
      </c>
      <c r="G1995" s="614">
        <v>0</v>
      </c>
      <c r="H1995" s="611"/>
    </row>
    <row r="1996" spans="1:8" ht="15.75">
      <c r="A1996" s="608" t="s">
        <v>380</v>
      </c>
      <c r="B1996" s="613" t="s">
        <v>646</v>
      </c>
      <c r="C1996" s="610" t="s">
        <v>679</v>
      </c>
      <c r="D1996" s="610" t="s">
        <v>680</v>
      </c>
      <c r="E1996" s="610" t="s">
        <v>379</v>
      </c>
      <c r="F1996" s="610" t="s">
        <v>379</v>
      </c>
      <c r="G1996" s="614">
        <v>0</v>
      </c>
      <c r="H1996" s="611"/>
    </row>
    <row r="1997" spans="1:8" ht="15.75">
      <c r="A1997" s="608" t="s">
        <v>649</v>
      </c>
      <c r="B1997" s="613" t="s">
        <v>650</v>
      </c>
      <c r="C1997" s="610" t="s">
        <v>681</v>
      </c>
      <c r="D1997" s="610" t="s">
        <v>682</v>
      </c>
      <c r="E1997" s="610" t="s">
        <v>379</v>
      </c>
      <c r="F1997" s="610" t="s">
        <v>379</v>
      </c>
      <c r="G1997" s="614">
        <v>0</v>
      </c>
      <c r="H1997" s="611"/>
    </row>
    <row r="1998" spans="1:8" ht="15.75">
      <c r="A1998" s="608" t="s">
        <v>653</v>
      </c>
      <c r="B1998" s="613" t="s">
        <v>654</v>
      </c>
      <c r="C1998" s="610" t="s">
        <v>682</v>
      </c>
      <c r="D1998" s="610" t="s">
        <v>677</v>
      </c>
      <c r="E1998" s="610" t="s">
        <v>379</v>
      </c>
      <c r="F1998" s="610" t="s">
        <v>379</v>
      </c>
      <c r="G1998" s="614">
        <v>0</v>
      </c>
      <c r="H1998" s="611"/>
    </row>
    <row r="1999" spans="1:8" ht="12.75" customHeight="1">
      <c r="A1999" s="608">
        <v>4</v>
      </c>
      <c r="B1999" s="706" t="s">
        <v>656</v>
      </c>
      <c r="C1999" s="706"/>
      <c r="D1999" s="706"/>
      <c r="E1999" s="706"/>
      <c r="F1999" s="706"/>
      <c r="G1999" s="706"/>
      <c r="H1999" s="706"/>
    </row>
    <row r="2000" spans="1:8" ht="31.5">
      <c r="A2000" s="608" t="s">
        <v>657</v>
      </c>
      <c r="B2000" s="612" t="s">
        <v>658</v>
      </c>
      <c r="C2000" s="610" t="s">
        <v>379</v>
      </c>
      <c r="D2000" s="610" t="s">
        <v>379</v>
      </c>
      <c r="E2000" s="610" t="s">
        <v>379</v>
      </c>
      <c r="F2000" s="610" t="s">
        <v>379</v>
      </c>
      <c r="G2000" s="610" t="s">
        <v>379</v>
      </c>
      <c r="H2000" s="611" t="s">
        <v>626</v>
      </c>
    </row>
    <row r="2001" spans="1:8" ht="47.25">
      <c r="A2001" s="608" t="s">
        <v>659</v>
      </c>
      <c r="B2001" s="612" t="s">
        <v>660</v>
      </c>
      <c r="C2001" s="610" t="s">
        <v>379</v>
      </c>
      <c r="D2001" s="610" t="s">
        <v>379</v>
      </c>
      <c r="E2001" s="610" t="s">
        <v>379</v>
      </c>
      <c r="F2001" s="610" t="s">
        <v>379</v>
      </c>
      <c r="G2001" s="610" t="s">
        <v>379</v>
      </c>
      <c r="H2001" s="611" t="s">
        <v>626</v>
      </c>
    </row>
    <row r="2002" spans="1:8" ht="31.5">
      <c r="A2002" s="608" t="s">
        <v>661</v>
      </c>
      <c r="B2002" s="613" t="s">
        <v>662</v>
      </c>
      <c r="C2002" s="610" t="s">
        <v>379</v>
      </c>
      <c r="D2002" s="610" t="s">
        <v>379</v>
      </c>
      <c r="E2002" s="610" t="s">
        <v>379</v>
      </c>
      <c r="F2002" s="610" t="s">
        <v>379</v>
      </c>
      <c r="G2002" s="610" t="s">
        <v>379</v>
      </c>
      <c r="H2002" s="611" t="s">
        <v>626</v>
      </c>
    </row>
    <row r="2003" spans="1:8" ht="31.5">
      <c r="A2003" s="615" t="s">
        <v>663</v>
      </c>
      <c r="B2003" s="616" t="s">
        <v>664</v>
      </c>
      <c r="C2003" s="617" t="s">
        <v>379</v>
      </c>
      <c r="D2003" s="617" t="s">
        <v>379</v>
      </c>
      <c r="E2003" s="617" t="s">
        <v>379</v>
      </c>
      <c r="F2003" s="617" t="s">
        <v>379</v>
      </c>
      <c r="G2003" s="617" t="s">
        <v>379</v>
      </c>
      <c r="H2003" s="618" t="s">
        <v>626</v>
      </c>
    </row>
    <row r="2004" spans="1:8" ht="15.75">
      <c r="A2004" s="619"/>
      <c r="B2004" s="620"/>
      <c r="C2004" s="621"/>
      <c r="D2004" s="621"/>
      <c r="E2004" s="621"/>
      <c r="F2004" s="621"/>
      <c r="G2004" s="621"/>
      <c r="H2004" s="148"/>
    </row>
    <row r="2005" spans="1:8" ht="12.75" customHeight="1">
      <c r="A2005" s="707" t="s">
        <v>665</v>
      </c>
      <c r="B2005" s="707"/>
      <c r="C2005" s="707"/>
      <c r="D2005" s="707"/>
      <c r="E2005" s="707"/>
      <c r="F2005" s="707"/>
      <c r="G2005" s="707"/>
      <c r="H2005" s="707"/>
    </row>
    <row r="2011" ht="15.75">
      <c r="H2011" s="11" t="s">
        <v>609</v>
      </c>
    </row>
    <row r="2012" ht="15.75">
      <c r="H2012" s="11" t="s">
        <v>610</v>
      </c>
    </row>
    <row r="2013" ht="15.75">
      <c r="H2013" s="11" t="s">
        <v>611</v>
      </c>
    </row>
    <row r="2014" ht="15.75">
      <c r="H2014" s="11"/>
    </row>
    <row r="2015" spans="1:8" ht="12.75" customHeight="1">
      <c r="A2015" s="713" t="s">
        <v>612</v>
      </c>
      <c r="B2015" s="713"/>
      <c r="C2015" s="713"/>
      <c r="D2015" s="713"/>
      <c r="E2015" s="713"/>
      <c r="F2015" s="713"/>
      <c r="G2015" s="713"/>
      <c r="H2015" s="713"/>
    </row>
    <row r="2016" spans="1:8" ht="12.75" customHeight="1">
      <c r="A2016" s="713" t="s">
        <v>613</v>
      </c>
      <c r="B2016" s="713"/>
      <c r="C2016" s="713"/>
      <c r="D2016" s="713"/>
      <c r="E2016" s="713"/>
      <c r="F2016" s="713"/>
      <c r="G2016" s="713"/>
      <c r="H2016" s="713"/>
    </row>
    <row r="2017" ht="15.75">
      <c r="H2017" s="11" t="s">
        <v>43</v>
      </c>
    </row>
    <row r="2018" ht="15.75">
      <c r="H2018" s="11" t="s">
        <v>44</v>
      </c>
    </row>
    <row r="2019" ht="15.75">
      <c r="H2019" s="11" t="s">
        <v>45</v>
      </c>
    </row>
    <row r="2020" ht="15.75">
      <c r="H2020" s="594" t="s">
        <v>614</v>
      </c>
    </row>
    <row r="2021" ht="15.75">
      <c r="H2021" s="11" t="s">
        <v>615</v>
      </c>
    </row>
    <row r="2022" ht="15.75">
      <c r="H2022" s="11" t="s">
        <v>47</v>
      </c>
    </row>
    <row r="2023" ht="15.75">
      <c r="A2023" s="595"/>
    </row>
    <row r="2024" ht="15.75">
      <c r="A2024" s="3" t="s">
        <v>772</v>
      </c>
    </row>
    <row r="2025" spans="1:8" ht="12.75" customHeight="1">
      <c r="A2025" s="717" t="s">
        <v>0</v>
      </c>
      <c r="B2025" s="714"/>
      <c r="C2025" s="714"/>
      <c r="D2025" s="714"/>
      <c r="E2025" s="714"/>
      <c r="F2025" s="714"/>
      <c r="G2025" s="714"/>
      <c r="H2025" s="714"/>
    </row>
    <row r="2026" spans="1:8" ht="16.5" thickBot="1">
      <c r="A2026" s="597"/>
      <c r="B2026" s="597"/>
      <c r="C2026" s="598"/>
      <c r="D2026" s="598"/>
      <c r="E2026" s="598"/>
      <c r="F2026" s="598"/>
      <c r="G2026" s="598"/>
      <c r="H2026" s="598"/>
    </row>
    <row r="2027" spans="1:8" ht="12.75" customHeight="1">
      <c r="A2027" s="708" t="s">
        <v>617</v>
      </c>
      <c r="B2027" s="710" t="s">
        <v>618</v>
      </c>
      <c r="C2027" s="711" t="s">
        <v>619</v>
      </c>
      <c r="D2027" s="711"/>
      <c r="E2027" s="711"/>
      <c r="F2027" s="711"/>
      <c r="G2027" s="712" t="s">
        <v>620</v>
      </c>
      <c r="H2027" s="708" t="s">
        <v>621</v>
      </c>
    </row>
    <row r="2028" spans="1:8" ht="15.75">
      <c r="A2028" s="708"/>
      <c r="B2028" s="710"/>
      <c r="C2028" s="711"/>
      <c r="D2028" s="711"/>
      <c r="E2028" s="711"/>
      <c r="F2028" s="711"/>
      <c r="G2028" s="712"/>
      <c r="H2028" s="708"/>
    </row>
    <row r="2029" spans="1:8" ht="31.5">
      <c r="A2029" s="708"/>
      <c r="B2029" s="710"/>
      <c r="C2029" s="601" t="s">
        <v>622</v>
      </c>
      <c r="D2029" s="601" t="s">
        <v>623</v>
      </c>
      <c r="E2029" s="602" t="s">
        <v>622</v>
      </c>
      <c r="F2029" s="603" t="s">
        <v>623</v>
      </c>
      <c r="G2029" s="712"/>
      <c r="H2029" s="708"/>
    </row>
    <row r="2030" spans="1:8" ht="15.75">
      <c r="A2030" s="599">
        <v>1</v>
      </c>
      <c r="B2030" s="599">
        <v>2</v>
      </c>
      <c r="C2030" s="604">
        <v>3</v>
      </c>
      <c r="D2030" s="604">
        <v>4</v>
      </c>
      <c r="E2030" s="605"/>
      <c r="F2030" s="606"/>
      <c r="G2030" s="600">
        <v>5</v>
      </c>
      <c r="H2030" s="599">
        <v>6</v>
      </c>
    </row>
    <row r="2031" spans="1:8" ht="12.75" customHeight="1">
      <c r="A2031" s="607">
        <v>1</v>
      </c>
      <c r="B2031" s="709" t="s">
        <v>624</v>
      </c>
      <c r="C2031" s="709"/>
      <c r="D2031" s="709"/>
      <c r="E2031" s="709"/>
      <c r="F2031" s="709"/>
      <c r="G2031" s="709"/>
      <c r="H2031" s="709"/>
    </row>
    <row r="2032" spans="1:8" ht="15.75">
      <c r="A2032" s="608" t="s">
        <v>74</v>
      </c>
      <c r="B2032" s="609" t="s">
        <v>625</v>
      </c>
      <c r="C2032" s="610" t="s">
        <v>379</v>
      </c>
      <c r="D2032" s="610" t="s">
        <v>379</v>
      </c>
      <c r="E2032" s="610" t="s">
        <v>379</v>
      </c>
      <c r="F2032" s="610" t="s">
        <v>379</v>
      </c>
      <c r="G2032" s="610" t="s">
        <v>379</v>
      </c>
      <c r="H2032" s="611" t="s">
        <v>626</v>
      </c>
    </row>
    <row r="2033" spans="1:8" ht="15.75">
      <c r="A2033" s="608" t="s">
        <v>313</v>
      </c>
      <c r="B2033" s="609" t="s">
        <v>627</v>
      </c>
      <c r="C2033" s="610" t="s">
        <v>379</v>
      </c>
      <c r="D2033" s="610" t="s">
        <v>379</v>
      </c>
      <c r="E2033" s="610" t="s">
        <v>379</v>
      </c>
      <c r="F2033" s="610" t="s">
        <v>379</v>
      </c>
      <c r="G2033" s="610" t="s">
        <v>379</v>
      </c>
      <c r="H2033" s="611" t="s">
        <v>626</v>
      </c>
    </row>
    <row r="2034" spans="1:8" ht="31.5">
      <c r="A2034" s="608" t="s">
        <v>315</v>
      </c>
      <c r="B2034" s="612" t="s">
        <v>628</v>
      </c>
      <c r="C2034" s="610" t="s">
        <v>379</v>
      </c>
      <c r="D2034" s="610" t="s">
        <v>379</v>
      </c>
      <c r="E2034" s="610" t="s">
        <v>379</v>
      </c>
      <c r="F2034" s="610" t="s">
        <v>379</v>
      </c>
      <c r="G2034" s="610" t="s">
        <v>379</v>
      </c>
      <c r="H2034" s="611" t="s">
        <v>626</v>
      </c>
    </row>
    <row r="2035" spans="1:8" ht="47.25">
      <c r="A2035" s="608" t="s">
        <v>317</v>
      </c>
      <c r="B2035" s="612" t="s">
        <v>629</v>
      </c>
      <c r="C2035" s="610" t="s">
        <v>379</v>
      </c>
      <c r="D2035" s="610" t="s">
        <v>379</v>
      </c>
      <c r="E2035" s="610" t="s">
        <v>379</v>
      </c>
      <c r="F2035" s="610" t="s">
        <v>379</v>
      </c>
      <c r="G2035" s="610" t="s">
        <v>379</v>
      </c>
      <c r="H2035" s="611" t="s">
        <v>626</v>
      </c>
    </row>
    <row r="2036" spans="1:8" ht="15.75">
      <c r="A2036" s="608" t="s">
        <v>630</v>
      </c>
      <c r="B2036" s="613" t="s">
        <v>631</v>
      </c>
      <c r="C2036" s="610" t="s">
        <v>379</v>
      </c>
      <c r="D2036" s="610" t="s">
        <v>379</v>
      </c>
      <c r="E2036" s="610" t="s">
        <v>379</v>
      </c>
      <c r="F2036" s="610" t="s">
        <v>379</v>
      </c>
      <c r="G2036" s="610" t="s">
        <v>379</v>
      </c>
      <c r="H2036" s="611" t="s">
        <v>626</v>
      </c>
    </row>
    <row r="2037" spans="1:8" ht="15.75">
      <c r="A2037" s="608" t="s">
        <v>632</v>
      </c>
      <c r="B2037" s="613" t="s">
        <v>633</v>
      </c>
      <c r="C2037" s="610" t="s">
        <v>379</v>
      </c>
      <c r="D2037" s="610" t="s">
        <v>379</v>
      </c>
      <c r="E2037" s="610" t="s">
        <v>379</v>
      </c>
      <c r="F2037" s="610" t="s">
        <v>379</v>
      </c>
      <c r="G2037" s="610" t="s">
        <v>379</v>
      </c>
      <c r="H2037" s="611" t="s">
        <v>626</v>
      </c>
    </row>
    <row r="2038" spans="1:8" ht="12.75" customHeight="1">
      <c r="A2038" s="608">
        <v>2</v>
      </c>
      <c r="B2038" s="706" t="s">
        <v>634</v>
      </c>
      <c r="C2038" s="706"/>
      <c r="D2038" s="706"/>
      <c r="E2038" s="706"/>
      <c r="F2038" s="706"/>
      <c r="G2038" s="706"/>
      <c r="H2038" s="706"/>
    </row>
    <row r="2039" spans="1:8" ht="31.5">
      <c r="A2039" s="608" t="s">
        <v>321</v>
      </c>
      <c r="B2039" s="612" t="s">
        <v>635</v>
      </c>
      <c r="C2039" s="610" t="s">
        <v>676</v>
      </c>
      <c r="D2039" s="610" t="s">
        <v>677</v>
      </c>
      <c r="E2039" s="610" t="s">
        <v>379</v>
      </c>
      <c r="F2039" s="610" t="s">
        <v>379</v>
      </c>
      <c r="G2039" s="614">
        <v>0</v>
      </c>
      <c r="H2039" s="611"/>
    </row>
    <row r="2040" spans="1:8" ht="47.25">
      <c r="A2040" s="608" t="s">
        <v>325</v>
      </c>
      <c r="B2040" s="612" t="s">
        <v>638</v>
      </c>
      <c r="C2040" s="610" t="s">
        <v>379</v>
      </c>
      <c r="D2040" s="610" t="s">
        <v>379</v>
      </c>
      <c r="E2040" s="610" t="s">
        <v>379</v>
      </c>
      <c r="F2040" s="610" t="s">
        <v>379</v>
      </c>
      <c r="G2040" s="610" t="s">
        <v>379</v>
      </c>
      <c r="H2040" s="611" t="s">
        <v>626</v>
      </c>
    </row>
    <row r="2041" spans="1:8" ht="31.5">
      <c r="A2041" s="608" t="s">
        <v>639</v>
      </c>
      <c r="B2041" s="612" t="s">
        <v>640</v>
      </c>
      <c r="C2041" s="610" t="s">
        <v>379</v>
      </c>
      <c r="D2041" s="610" t="s">
        <v>379</v>
      </c>
      <c r="E2041" s="610" t="s">
        <v>379</v>
      </c>
      <c r="F2041" s="610" t="s">
        <v>379</v>
      </c>
      <c r="G2041" s="610" t="s">
        <v>379</v>
      </c>
      <c r="H2041" s="611" t="s">
        <v>626</v>
      </c>
    </row>
    <row r="2042" spans="1:8" ht="12.75" customHeight="1">
      <c r="A2042" s="608">
        <v>3</v>
      </c>
      <c r="B2042" s="706" t="s">
        <v>641</v>
      </c>
      <c r="C2042" s="706"/>
      <c r="D2042" s="706"/>
      <c r="E2042" s="706"/>
      <c r="F2042" s="706"/>
      <c r="G2042" s="706"/>
      <c r="H2042" s="706"/>
    </row>
    <row r="2043" spans="1:8" ht="31.5">
      <c r="A2043" s="608" t="s">
        <v>378</v>
      </c>
      <c r="B2043" s="613" t="s">
        <v>642</v>
      </c>
      <c r="C2043" s="610" t="s">
        <v>379</v>
      </c>
      <c r="D2043" s="610" t="s">
        <v>379</v>
      </c>
      <c r="E2043" s="610" t="s">
        <v>379</v>
      </c>
      <c r="F2043" s="610" t="s">
        <v>379</v>
      </c>
      <c r="G2043" s="610" t="s">
        <v>379</v>
      </c>
      <c r="H2043" s="611" t="s">
        <v>626</v>
      </c>
    </row>
    <row r="2044" spans="1:8" ht="15.75">
      <c r="A2044" s="608" t="s">
        <v>643</v>
      </c>
      <c r="B2044" s="613" t="s">
        <v>644</v>
      </c>
      <c r="C2044" s="610" t="s">
        <v>676</v>
      </c>
      <c r="D2044" s="610" t="s">
        <v>678</v>
      </c>
      <c r="E2044" s="610" t="s">
        <v>379</v>
      </c>
      <c r="F2044" s="610" t="s">
        <v>379</v>
      </c>
      <c r="G2044" s="614">
        <v>0</v>
      </c>
      <c r="H2044" s="611"/>
    </row>
    <row r="2045" spans="1:8" ht="15.75">
      <c r="A2045" s="608" t="s">
        <v>380</v>
      </c>
      <c r="B2045" s="613" t="s">
        <v>646</v>
      </c>
      <c r="C2045" s="610" t="s">
        <v>679</v>
      </c>
      <c r="D2045" s="610" t="s">
        <v>680</v>
      </c>
      <c r="E2045" s="610" t="s">
        <v>379</v>
      </c>
      <c r="F2045" s="610" t="s">
        <v>379</v>
      </c>
      <c r="G2045" s="614">
        <v>0</v>
      </c>
      <c r="H2045" s="611"/>
    </row>
    <row r="2046" spans="1:8" ht="15.75">
      <c r="A2046" s="608" t="s">
        <v>649</v>
      </c>
      <c r="B2046" s="613" t="s">
        <v>650</v>
      </c>
      <c r="C2046" s="610" t="s">
        <v>681</v>
      </c>
      <c r="D2046" s="610" t="s">
        <v>682</v>
      </c>
      <c r="E2046" s="610" t="s">
        <v>379</v>
      </c>
      <c r="F2046" s="610" t="s">
        <v>379</v>
      </c>
      <c r="G2046" s="614">
        <v>0</v>
      </c>
      <c r="H2046" s="611"/>
    </row>
    <row r="2047" spans="1:8" ht="15.75">
      <c r="A2047" s="608" t="s">
        <v>653</v>
      </c>
      <c r="B2047" s="613" t="s">
        <v>654</v>
      </c>
      <c r="C2047" s="610" t="s">
        <v>682</v>
      </c>
      <c r="D2047" s="610" t="s">
        <v>677</v>
      </c>
      <c r="E2047" s="610" t="s">
        <v>379</v>
      </c>
      <c r="F2047" s="610" t="s">
        <v>379</v>
      </c>
      <c r="G2047" s="614">
        <v>0</v>
      </c>
      <c r="H2047" s="611"/>
    </row>
    <row r="2048" spans="1:8" ht="12.75" customHeight="1">
      <c r="A2048" s="608">
        <v>4</v>
      </c>
      <c r="B2048" s="706" t="s">
        <v>656</v>
      </c>
      <c r="C2048" s="706"/>
      <c r="D2048" s="706"/>
      <c r="E2048" s="706"/>
      <c r="F2048" s="706"/>
      <c r="G2048" s="706"/>
      <c r="H2048" s="706"/>
    </row>
    <row r="2049" spans="1:8" ht="31.5">
      <c r="A2049" s="608" t="s">
        <v>657</v>
      </c>
      <c r="B2049" s="612" t="s">
        <v>658</v>
      </c>
      <c r="C2049" s="610" t="s">
        <v>379</v>
      </c>
      <c r="D2049" s="610" t="s">
        <v>379</v>
      </c>
      <c r="E2049" s="610" t="s">
        <v>379</v>
      </c>
      <c r="F2049" s="610" t="s">
        <v>379</v>
      </c>
      <c r="G2049" s="610" t="s">
        <v>379</v>
      </c>
      <c r="H2049" s="611" t="s">
        <v>626</v>
      </c>
    </row>
    <row r="2050" spans="1:8" ht="47.25">
      <c r="A2050" s="608" t="s">
        <v>659</v>
      </c>
      <c r="B2050" s="612" t="s">
        <v>660</v>
      </c>
      <c r="C2050" s="610" t="s">
        <v>379</v>
      </c>
      <c r="D2050" s="610" t="s">
        <v>379</v>
      </c>
      <c r="E2050" s="610" t="s">
        <v>379</v>
      </c>
      <c r="F2050" s="610" t="s">
        <v>379</v>
      </c>
      <c r="G2050" s="610" t="s">
        <v>379</v>
      </c>
      <c r="H2050" s="611" t="s">
        <v>626</v>
      </c>
    </row>
    <row r="2051" spans="1:8" ht="31.5">
      <c r="A2051" s="608" t="s">
        <v>661</v>
      </c>
      <c r="B2051" s="613" t="s">
        <v>662</v>
      </c>
      <c r="C2051" s="610" t="s">
        <v>379</v>
      </c>
      <c r="D2051" s="610" t="s">
        <v>379</v>
      </c>
      <c r="E2051" s="610" t="s">
        <v>379</v>
      </c>
      <c r="F2051" s="610" t="s">
        <v>379</v>
      </c>
      <c r="G2051" s="610" t="s">
        <v>379</v>
      </c>
      <c r="H2051" s="611" t="s">
        <v>626</v>
      </c>
    </row>
    <row r="2052" spans="1:8" ht="31.5">
      <c r="A2052" s="615" t="s">
        <v>663</v>
      </c>
      <c r="B2052" s="616" t="s">
        <v>664</v>
      </c>
      <c r="C2052" s="617" t="s">
        <v>379</v>
      </c>
      <c r="D2052" s="617" t="s">
        <v>379</v>
      </c>
      <c r="E2052" s="617" t="s">
        <v>379</v>
      </c>
      <c r="F2052" s="617" t="s">
        <v>379</v>
      </c>
      <c r="G2052" s="617" t="s">
        <v>379</v>
      </c>
      <c r="H2052" s="618" t="s">
        <v>626</v>
      </c>
    </row>
    <row r="2053" spans="1:8" ht="15.75">
      <c r="A2053" s="619"/>
      <c r="B2053" s="620"/>
      <c r="C2053" s="621"/>
      <c r="D2053" s="621"/>
      <c r="E2053" s="621"/>
      <c r="F2053" s="621"/>
      <c r="G2053" s="621"/>
      <c r="H2053" s="148"/>
    </row>
    <row r="2054" spans="1:8" ht="12.75" customHeight="1">
      <c r="A2054" s="707" t="s">
        <v>665</v>
      </c>
      <c r="B2054" s="707"/>
      <c r="C2054" s="707"/>
      <c r="D2054" s="707"/>
      <c r="E2054" s="707"/>
      <c r="F2054" s="707"/>
      <c r="G2054" s="707"/>
      <c r="H2054" s="707"/>
    </row>
    <row r="2058" ht="15.75">
      <c r="H2058" s="11" t="s">
        <v>609</v>
      </c>
    </row>
    <row r="2059" ht="15.75">
      <c r="H2059" s="11" t="s">
        <v>610</v>
      </c>
    </row>
    <row r="2060" ht="15.75">
      <c r="H2060" s="11" t="s">
        <v>611</v>
      </c>
    </row>
    <row r="2061" ht="15.75">
      <c r="H2061" s="11"/>
    </row>
    <row r="2062" spans="1:8" ht="12.75" customHeight="1">
      <c r="A2062" s="713" t="s">
        <v>612</v>
      </c>
      <c r="B2062" s="713"/>
      <c r="C2062" s="713"/>
      <c r="D2062" s="713"/>
      <c r="E2062" s="713"/>
      <c r="F2062" s="713"/>
      <c r="G2062" s="713"/>
      <c r="H2062" s="713"/>
    </row>
    <row r="2063" spans="1:8" ht="12.75" customHeight="1">
      <c r="A2063" s="713" t="s">
        <v>613</v>
      </c>
      <c r="B2063" s="713"/>
      <c r="C2063" s="713"/>
      <c r="D2063" s="713"/>
      <c r="E2063" s="713"/>
      <c r="F2063" s="713"/>
      <c r="G2063" s="713"/>
      <c r="H2063" s="713"/>
    </row>
    <row r="2064" ht="15.75">
      <c r="H2064" s="11" t="s">
        <v>43</v>
      </c>
    </row>
    <row r="2065" ht="15.75">
      <c r="H2065" s="11" t="s">
        <v>44</v>
      </c>
    </row>
    <row r="2066" ht="15.75">
      <c r="H2066" s="11" t="s">
        <v>45</v>
      </c>
    </row>
    <row r="2067" ht="15.75">
      <c r="H2067" s="594" t="s">
        <v>614</v>
      </c>
    </row>
    <row r="2068" ht="15.75">
      <c r="H2068" s="11" t="s">
        <v>615</v>
      </c>
    </row>
    <row r="2069" ht="15.75">
      <c r="H2069" s="11" t="s">
        <v>47</v>
      </c>
    </row>
    <row r="2070" ht="15.75">
      <c r="A2070" s="595"/>
    </row>
    <row r="2071" ht="15.75">
      <c r="A2071" s="3" t="s">
        <v>773</v>
      </c>
    </row>
    <row r="2072" spans="1:8" ht="12.75" customHeight="1">
      <c r="A2072" s="717" t="s">
        <v>0</v>
      </c>
      <c r="B2072" s="714"/>
      <c r="C2072" s="714"/>
      <c r="D2072" s="714"/>
      <c r="E2072" s="714"/>
      <c r="F2072" s="714"/>
      <c r="G2072" s="714"/>
      <c r="H2072" s="714"/>
    </row>
    <row r="2073" spans="1:8" ht="16.5" thickBot="1">
      <c r="A2073" s="597"/>
      <c r="B2073" s="597"/>
      <c r="C2073" s="598"/>
      <c r="D2073" s="598"/>
      <c r="E2073" s="598"/>
      <c r="F2073" s="598"/>
      <c r="G2073" s="598"/>
      <c r="H2073" s="598"/>
    </row>
    <row r="2074" spans="1:8" ht="12.75" customHeight="1">
      <c r="A2074" s="708" t="s">
        <v>617</v>
      </c>
      <c r="B2074" s="710" t="s">
        <v>618</v>
      </c>
      <c r="C2074" s="711" t="s">
        <v>619</v>
      </c>
      <c r="D2074" s="711"/>
      <c r="E2074" s="711"/>
      <c r="F2074" s="711"/>
      <c r="G2074" s="712" t="s">
        <v>620</v>
      </c>
      <c r="H2074" s="708" t="s">
        <v>621</v>
      </c>
    </row>
    <row r="2075" spans="1:8" ht="15.75">
      <c r="A2075" s="708"/>
      <c r="B2075" s="710"/>
      <c r="C2075" s="711"/>
      <c r="D2075" s="711"/>
      <c r="E2075" s="711"/>
      <c r="F2075" s="711"/>
      <c r="G2075" s="712"/>
      <c r="H2075" s="708"/>
    </row>
    <row r="2076" spans="1:8" ht="31.5">
      <c r="A2076" s="708"/>
      <c r="B2076" s="710"/>
      <c r="C2076" s="601" t="s">
        <v>622</v>
      </c>
      <c r="D2076" s="601" t="s">
        <v>623</v>
      </c>
      <c r="E2076" s="602" t="s">
        <v>622</v>
      </c>
      <c r="F2076" s="603" t="s">
        <v>623</v>
      </c>
      <c r="G2076" s="712"/>
      <c r="H2076" s="708"/>
    </row>
    <row r="2077" spans="1:8" ht="15.75">
      <c r="A2077" s="599">
        <v>1</v>
      </c>
      <c r="B2077" s="599">
        <v>2</v>
      </c>
      <c r="C2077" s="604">
        <v>3</v>
      </c>
      <c r="D2077" s="604">
        <v>4</v>
      </c>
      <c r="E2077" s="605"/>
      <c r="F2077" s="606"/>
      <c r="G2077" s="600">
        <v>5</v>
      </c>
      <c r="H2077" s="599">
        <v>6</v>
      </c>
    </row>
    <row r="2078" spans="1:8" ht="12.75" customHeight="1">
      <c r="A2078" s="607">
        <v>1</v>
      </c>
      <c r="B2078" s="709" t="s">
        <v>624</v>
      </c>
      <c r="C2078" s="709"/>
      <c r="D2078" s="709"/>
      <c r="E2078" s="709"/>
      <c r="F2078" s="709"/>
      <c r="G2078" s="709"/>
      <c r="H2078" s="709"/>
    </row>
    <row r="2079" spans="1:8" ht="15.75">
      <c r="A2079" s="608" t="s">
        <v>74</v>
      </c>
      <c r="B2079" s="609" t="s">
        <v>625</v>
      </c>
      <c r="C2079" s="610" t="s">
        <v>379</v>
      </c>
      <c r="D2079" s="610" t="s">
        <v>379</v>
      </c>
      <c r="E2079" s="610" t="s">
        <v>379</v>
      </c>
      <c r="F2079" s="610" t="s">
        <v>379</v>
      </c>
      <c r="G2079" s="610" t="s">
        <v>379</v>
      </c>
      <c r="H2079" s="611" t="s">
        <v>626</v>
      </c>
    </row>
    <row r="2080" spans="1:8" ht="15.75">
      <c r="A2080" s="608" t="s">
        <v>313</v>
      </c>
      <c r="B2080" s="609" t="s">
        <v>627</v>
      </c>
      <c r="C2080" s="610" t="s">
        <v>379</v>
      </c>
      <c r="D2080" s="610" t="s">
        <v>379</v>
      </c>
      <c r="E2080" s="610" t="s">
        <v>379</v>
      </c>
      <c r="F2080" s="610" t="s">
        <v>379</v>
      </c>
      <c r="G2080" s="610" t="s">
        <v>379</v>
      </c>
      <c r="H2080" s="611" t="s">
        <v>626</v>
      </c>
    </row>
    <row r="2081" spans="1:8" ht="31.5">
      <c r="A2081" s="608" t="s">
        <v>315</v>
      </c>
      <c r="B2081" s="612" t="s">
        <v>628</v>
      </c>
      <c r="C2081" s="610" t="s">
        <v>379</v>
      </c>
      <c r="D2081" s="610" t="s">
        <v>379</v>
      </c>
      <c r="E2081" s="610" t="s">
        <v>379</v>
      </c>
      <c r="F2081" s="610" t="s">
        <v>379</v>
      </c>
      <c r="G2081" s="610" t="s">
        <v>379</v>
      </c>
      <c r="H2081" s="611" t="s">
        <v>626</v>
      </c>
    </row>
    <row r="2082" spans="1:8" ht="47.25">
      <c r="A2082" s="608" t="s">
        <v>317</v>
      </c>
      <c r="B2082" s="612" t="s">
        <v>629</v>
      </c>
      <c r="C2082" s="610" t="s">
        <v>379</v>
      </c>
      <c r="D2082" s="610" t="s">
        <v>379</v>
      </c>
      <c r="E2082" s="610" t="s">
        <v>379</v>
      </c>
      <c r="F2082" s="610" t="s">
        <v>379</v>
      </c>
      <c r="G2082" s="610" t="s">
        <v>379</v>
      </c>
      <c r="H2082" s="611" t="s">
        <v>626</v>
      </c>
    </row>
    <row r="2083" spans="1:8" ht="15.75">
      <c r="A2083" s="608" t="s">
        <v>630</v>
      </c>
      <c r="B2083" s="613" t="s">
        <v>631</v>
      </c>
      <c r="C2083" s="610" t="s">
        <v>379</v>
      </c>
      <c r="D2083" s="610" t="s">
        <v>379</v>
      </c>
      <c r="E2083" s="610" t="s">
        <v>379</v>
      </c>
      <c r="F2083" s="610" t="s">
        <v>379</v>
      </c>
      <c r="G2083" s="610" t="s">
        <v>379</v>
      </c>
      <c r="H2083" s="611" t="s">
        <v>626</v>
      </c>
    </row>
    <row r="2084" spans="1:8" ht="15.75">
      <c r="A2084" s="608" t="s">
        <v>632</v>
      </c>
      <c r="B2084" s="613" t="s">
        <v>633</v>
      </c>
      <c r="C2084" s="610" t="s">
        <v>379</v>
      </c>
      <c r="D2084" s="610" t="s">
        <v>379</v>
      </c>
      <c r="E2084" s="610" t="s">
        <v>379</v>
      </c>
      <c r="F2084" s="610" t="s">
        <v>379</v>
      </c>
      <c r="G2084" s="610" t="s">
        <v>379</v>
      </c>
      <c r="H2084" s="611" t="s">
        <v>626</v>
      </c>
    </row>
    <row r="2085" spans="1:8" ht="18" customHeight="1">
      <c r="A2085" s="608">
        <v>2</v>
      </c>
      <c r="B2085" s="706" t="s">
        <v>634</v>
      </c>
      <c r="C2085" s="706"/>
      <c r="D2085" s="706"/>
      <c r="E2085" s="706"/>
      <c r="F2085" s="706"/>
      <c r="G2085" s="706"/>
      <c r="H2085" s="706"/>
    </row>
    <row r="2086" spans="1:8" ht="31.5">
      <c r="A2086" s="608" t="s">
        <v>321</v>
      </c>
      <c r="B2086" s="612" t="s">
        <v>635</v>
      </c>
      <c r="C2086" s="610" t="s">
        <v>676</v>
      </c>
      <c r="D2086" s="610" t="s">
        <v>667</v>
      </c>
      <c r="E2086" s="610" t="s">
        <v>379</v>
      </c>
      <c r="F2086" s="610" t="s">
        <v>379</v>
      </c>
      <c r="G2086" s="614">
        <v>0</v>
      </c>
      <c r="H2086" s="611"/>
    </row>
    <row r="2087" spans="1:8" ht="47.25">
      <c r="A2087" s="608" t="s">
        <v>325</v>
      </c>
      <c r="B2087" s="612" t="s">
        <v>638</v>
      </c>
      <c r="C2087" s="610" t="s">
        <v>379</v>
      </c>
      <c r="D2087" s="610" t="s">
        <v>379</v>
      </c>
      <c r="E2087" s="610" t="s">
        <v>379</v>
      </c>
      <c r="F2087" s="610" t="s">
        <v>379</v>
      </c>
      <c r="G2087" s="610" t="s">
        <v>379</v>
      </c>
      <c r="H2087" s="611" t="s">
        <v>626</v>
      </c>
    </row>
    <row r="2088" spans="1:8" ht="15.75" customHeight="1">
      <c r="A2088" s="608" t="s">
        <v>639</v>
      </c>
      <c r="B2088" s="612" t="s">
        <v>640</v>
      </c>
      <c r="C2088" s="610" t="s">
        <v>379</v>
      </c>
      <c r="D2088" s="610" t="s">
        <v>379</v>
      </c>
      <c r="E2088" s="610" t="s">
        <v>379</v>
      </c>
      <c r="F2088" s="610" t="s">
        <v>379</v>
      </c>
      <c r="G2088" s="610" t="s">
        <v>379</v>
      </c>
      <c r="H2088" s="611" t="s">
        <v>626</v>
      </c>
    </row>
    <row r="2089" spans="1:8" ht="12.75" customHeight="1">
      <c r="A2089" s="608">
        <v>3</v>
      </c>
      <c r="B2089" s="706" t="s">
        <v>641</v>
      </c>
      <c r="C2089" s="706"/>
      <c r="D2089" s="706"/>
      <c r="E2089" s="706"/>
      <c r="F2089" s="706"/>
      <c r="G2089" s="706"/>
      <c r="H2089" s="706"/>
    </row>
    <row r="2090" spans="1:8" ht="31.5">
      <c r="A2090" s="608" t="s">
        <v>378</v>
      </c>
      <c r="B2090" s="613" t="s">
        <v>642</v>
      </c>
      <c r="C2090" s="610" t="s">
        <v>379</v>
      </c>
      <c r="D2090" s="610" t="s">
        <v>379</v>
      </c>
      <c r="E2090" s="610" t="s">
        <v>379</v>
      </c>
      <c r="F2090" s="610" t="s">
        <v>379</v>
      </c>
      <c r="G2090" s="610" t="s">
        <v>379</v>
      </c>
      <c r="H2090" s="611" t="s">
        <v>626</v>
      </c>
    </row>
    <row r="2091" spans="1:8" ht="15.75">
      <c r="A2091" s="608" t="s">
        <v>643</v>
      </c>
      <c r="B2091" s="613" t="s">
        <v>644</v>
      </c>
      <c r="C2091" s="610" t="s">
        <v>676</v>
      </c>
      <c r="D2091" s="610" t="s">
        <v>637</v>
      </c>
      <c r="E2091" s="610" t="s">
        <v>379</v>
      </c>
      <c r="F2091" s="610" t="s">
        <v>379</v>
      </c>
      <c r="G2091" s="614">
        <v>0</v>
      </c>
      <c r="H2091" s="611"/>
    </row>
    <row r="2092" spans="1:8" ht="15.75">
      <c r="A2092" s="608" t="s">
        <v>380</v>
      </c>
      <c r="B2092" s="613" t="s">
        <v>646</v>
      </c>
      <c r="C2092" s="610" t="s">
        <v>679</v>
      </c>
      <c r="D2092" s="610" t="s">
        <v>668</v>
      </c>
      <c r="E2092" s="610" t="s">
        <v>379</v>
      </c>
      <c r="F2092" s="610" t="s">
        <v>379</v>
      </c>
      <c r="G2092" s="614">
        <v>0</v>
      </c>
      <c r="H2092" s="611"/>
    </row>
    <row r="2093" spans="1:8" ht="15.75">
      <c r="A2093" s="608" t="s">
        <v>649</v>
      </c>
      <c r="B2093" s="613" t="s">
        <v>650</v>
      </c>
      <c r="C2093" s="610" t="s">
        <v>681</v>
      </c>
      <c r="D2093" s="610" t="s">
        <v>769</v>
      </c>
      <c r="E2093" s="610" t="s">
        <v>379</v>
      </c>
      <c r="F2093" s="610" t="s">
        <v>379</v>
      </c>
      <c r="G2093" s="614">
        <v>0</v>
      </c>
      <c r="H2093" s="611"/>
    </row>
    <row r="2094" spans="1:8" ht="15.75">
      <c r="A2094" s="608" t="s">
        <v>653</v>
      </c>
      <c r="B2094" s="613" t="s">
        <v>654</v>
      </c>
      <c r="C2094" s="610" t="s">
        <v>770</v>
      </c>
      <c r="D2094" s="610" t="s">
        <v>667</v>
      </c>
      <c r="E2094" s="610" t="s">
        <v>379</v>
      </c>
      <c r="F2094" s="610" t="s">
        <v>379</v>
      </c>
      <c r="G2094" s="614">
        <v>0</v>
      </c>
      <c r="H2094" s="611"/>
    </row>
    <row r="2095" spans="1:8" ht="12.75" customHeight="1">
      <c r="A2095" s="608">
        <v>4</v>
      </c>
      <c r="B2095" s="706" t="s">
        <v>656</v>
      </c>
      <c r="C2095" s="706"/>
      <c r="D2095" s="706"/>
      <c r="E2095" s="706"/>
      <c r="F2095" s="706"/>
      <c r="G2095" s="706"/>
      <c r="H2095" s="706"/>
    </row>
    <row r="2096" spans="1:8" ht="31.5">
      <c r="A2096" s="608" t="s">
        <v>657</v>
      </c>
      <c r="B2096" s="612" t="s">
        <v>658</v>
      </c>
      <c r="C2096" s="610" t="s">
        <v>379</v>
      </c>
      <c r="D2096" s="610" t="s">
        <v>379</v>
      </c>
      <c r="E2096" s="610" t="s">
        <v>379</v>
      </c>
      <c r="F2096" s="610" t="s">
        <v>379</v>
      </c>
      <c r="G2096" s="610" t="s">
        <v>379</v>
      </c>
      <c r="H2096" s="611" t="s">
        <v>626</v>
      </c>
    </row>
    <row r="2097" spans="1:8" ht="47.25">
      <c r="A2097" s="608" t="s">
        <v>659</v>
      </c>
      <c r="B2097" s="612" t="s">
        <v>660</v>
      </c>
      <c r="C2097" s="610" t="s">
        <v>379</v>
      </c>
      <c r="D2097" s="610" t="s">
        <v>379</v>
      </c>
      <c r="E2097" s="610" t="s">
        <v>379</v>
      </c>
      <c r="F2097" s="610" t="s">
        <v>379</v>
      </c>
      <c r="G2097" s="610" t="s">
        <v>379</v>
      </c>
      <c r="H2097" s="611" t="s">
        <v>626</v>
      </c>
    </row>
    <row r="2098" spans="1:8" ht="31.5">
      <c r="A2098" s="608" t="s">
        <v>661</v>
      </c>
      <c r="B2098" s="613" t="s">
        <v>662</v>
      </c>
      <c r="C2098" s="610" t="s">
        <v>379</v>
      </c>
      <c r="D2098" s="610" t="s">
        <v>379</v>
      </c>
      <c r="E2098" s="610" t="s">
        <v>379</v>
      </c>
      <c r="F2098" s="610" t="s">
        <v>379</v>
      </c>
      <c r="G2098" s="610" t="s">
        <v>379</v>
      </c>
      <c r="H2098" s="611" t="s">
        <v>626</v>
      </c>
    </row>
    <row r="2099" spans="1:8" ht="31.5">
      <c r="A2099" s="615" t="s">
        <v>663</v>
      </c>
      <c r="B2099" s="616" t="s">
        <v>664</v>
      </c>
      <c r="C2099" s="617" t="s">
        <v>379</v>
      </c>
      <c r="D2099" s="617" t="s">
        <v>379</v>
      </c>
      <c r="E2099" s="617" t="s">
        <v>379</v>
      </c>
      <c r="F2099" s="617" t="s">
        <v>379</v>
      </c>
      <c r="G2099" s="617" t="s">
        <v>379</v>
      </c>
      <c r="H2099" s="618" t="s">
        <v>626</v>
      </c>
    </row>
    <row r="2100" spans="1:8" ht="15.75">
      <c r="A2100" s="619"/>
      <c r="B2100" s="620"/>
      <c r="C2100" s="621"/>
      <c r="D2100" s="621"/>
      <c r="E2100" s="621"/>
      <c r="F2100" s="621"/>
      <c r="G2100" s="621"/>
      <c r="H2100" s="148"/>
    </row>
    <row r="2101" spans="1:8" ht="12.75" customHeight="1">
      <c r="A2101" s="707" t="s">
        <v>665</v>
      </c>
      <c r="B2101" s="707"/>
      <c r="C2101" s="707"/>
      <c r="D2101" s="707"/>
      <c r="E2101" s="707"/>
      <c r="F2101" s="707"/>
      <c r="G2101" s="707"/>
      <c r="H2101" s="707"/>
    </row>
    <row r="2107" ht="15.75">
      <c r="H2107" s="11" t="s">
        <v>609</v>
      </c>
    </row>
    <row r="2108" ht="15.75">
      <c r="H2108" s="11" t="s">
        <v>610</v>
      </c>
    </row>
    <row r="2109" ht="15.75">
      <c r="H2109" s="11" t="s">
        <v>611</v>
      </c>
    </row>
    <row r="2110" ht="15.75">
      <c r="H2110" s="11"/>
    </row>
    <row r="2111" spans="1:8" ht="12.75" customHeight="1">
      <c r="A2111" s="713" t="s">
        <v>612</v>
      </c>
      <c r="B2111" s="713"/>
      <c r="C2111" s="713"/>
      <c r="D2111" s="713"/>
      <c r="E2111" s="713"/>
      <c r="F2111" s="713"/>
      <c r="G2111" s="713"/>
      <c r="H2111" s="713"/>
    </row>
    <row r="2112" spans="1:8" ht="12.75" customHeight="1">
      <c r="A2112" s="713" t="s">
        <v>613</v>
      </c>
      <c r="B2112" s="713"/>
      <c r="C2112" s="713"/>
      <c r="D2112" s="713"/>
      <c r="E2112" s="713"/>
      <c r="F2112" s="713"/>
      <c r="G2112" s="713"/>
      <c r="H2112" s="713"/>
    </row>
    <row r="2113" ht="15.75">
      <c r="H2113" s="11" t="s">
        <v>43</v>
      </c>
    </row>
    <row r="2114" ht="15.75">
      <c r="H2114" s="11" t="s">
        <v>44</v>
      </c>
    </row>
    <row r="2115" ht="15.75">
      <c r="H2115" s="11" t="s">
        <v>45</v>
      </c>
    </row>
    <row r="2116" ht="15.75">
      <c r="H2116" s="594" t="s">
        <v>614</v>
      </c>
    </row>
    <row r="2117" ht="15.75">
      <c r="H2117" s="11" t="s">
        <v>615</v>
      </c>
    </row>
    <row r="2118" ht="15.75">
      <c r="H2118" s="11" t="s">
        <v>47</v>
      </c>
    </row>
    <row r="2119" ht="15.75">
      <c r="A2119" s="595"/>
    </row>
    <row r="2120" ht="15.75">
      <c r="A2120" s="3" t="s">
        <v>774</v>
      </c>
    </row>
    <row r="2121" spans="1:8" ht="12.75" customHeight="1">
      <c r="A2121" s="717" t="s">
        <v>0</v>
      </c>
      <c r="B2121" s="714"/>
      <c r="C2121" s="714"/>
      <c r="D2121" s="714"/>
      <c r="E2121" s="714"/>
      <c r="F2121" s="714"/>
      <c r="G2121" s="714"/>
      <c r="H2121" s="714"/>
    </row>
    <row r="2122" spans="1:8" ht="16.5" thickBot="1">
      <c r="A2122" s="597"/>
      <c r="B2122" s="597"/>
      <c r="C2122" s="598"/>
      <c r="D2122" s="598"/>
      <c r="E2122" s="598"/>
      <c r="F2122" s="598"/>
      <c r="G2122" s="598"/>
      <c r="H2122" s="598"/>
    </row>
    <row r="2123" spans="1:8" ht="12.75" customHeight="1">
      <c r="A2123" s="708" t="s">
        <v>617</v>
      </c>
      <c r="B2123" s="710" t="s">
        <v>618</v>
      </c>
      <c r="C2123" s="711" t="s">
        <v>619</v>
      </c>
      <c r="D2123" s="711"/>
      <c r="E2123" s="711"/>
      <c r="F2123" s="711"/>
      <c r="G2123" s="712" t="s">
        <v>620</v>
      </c>
      <c r="H2123" s="708" t="s">
        <v>621</v>
      </c>
    </row>
    <row r="2124" spans="1:8" ht="15.75">
      <c r="A2124" s="708"/>
      <c r="B2124" s="710"/>
      <c r="C2124" s="711"/>
      <c r="D2124" s="711"/>
      <c r="E2124" s="711"/>
      <c r="F2124" s="711"/>
      <c r="G2124" s="712"/>
      <c r="H2124" s="708"/>
    </row>
    <row r="2125" spans="1:8" ht="31.5">
      <c r="A2125" s="708"/>
      <c r="B2125" s="710"/>
      <c r="C2125" s="601" t="s">
        <v>622</v>
      </c>
      <c r="D2125" s="601" t="s">
        <v>623</v>
      </c>
      <c r="E2125" s="602" t="s">
        <v>622</v>
      </c>
      <c r="F2125" s="603" t="s">
        <v>623</v>
      </c>
      <c r="G2125" s="712"/>
      <c r="H2125" s="708"/>
    </row>
    <row r="2126" spans="1:8" ht="15.75">
      <c r="A2126" s="599">
        <v>1</v>
      </c>
      <c r="B2126" s="599">
        <v>2</v>
      </c>
      <c r="C2126" s="604">
        <v>3</v>
      </c>
      <c r="D2126" s="604">
        <v>4</v>
      </c>
      <c r="E2126" s="605"/>
      <c r="F2126" s="606"/>
      <c r="G2126" s="600">
        <v>5</v>
      </c>
      <c r="H2126" s="599">
        <v>6</v>
      </c>
    </row>
    <row r="2127" spans="1:8" ht="12.75" customHeight="1">
      <c r="A2127" s="607">
        <v>1</v>
      </c>
      <c r="B2127" s="709" t="s">
        <v>624</v>
      </c>
      <c r="C2127" s="709"/>
      <c r="D2127" s="709"/>
      <c r="E2127" s="709"/>
      <c r="F2127" s="709"/>
      <c r="G2127" s="709"/>
      <c r="H2127" s="709"/>
    </row>
    <row r="2128" spans="1:8" ht="15.75">
      <c r="A2128" s="608" t="s">
        <v>74</v>
      </c>
      <c r="B2128" s="609" t="s">
        <v>625</v>
      </c>
      <c r="C2128" s="610" t="s">
        <v>379</v>
      </c>
      <c r="D2128" s="610" t="s">
        <v>379</v>
      </c>
      <c r="E2128" s="610" t="s">
        <v>379</v>
      </c>
      <c r="F2128" s="610" t="s">
        <v>379</v>
      </c>
      <c r="G2128" s="610" t="s">
        <v>379</v>
      </c>
      <c r="H2128" s="611" t="s">
        <v>626</v>
      </c>
    </row>
    <row r="2129" spans="1:8" ht="15.75">
      <c r="A2129" s="608" t="s">
        <v>313</v>
      </c>
      <c r="B2129" s="609" t="s">
        <v>627</v>
      </c>
      <c r="C2129" s="610" t="s">
        <v>379</v>
      </c>
      <c r="D2129" s="610" t="s">
        <v>379</v>
      </c>
      <c r="E2129" s="610" t="s">
        <v>379</v>
      </c>
      <c r="F2129" s="610" t="s">
        <v>379</v>
      </c>
      <c r="G2129" s="610" t="s">
        <v>379</v>
      </c>
      <c r="H2129" s="611" t="s">
        <v>626</v>
      </c>
    </row>
    <row r="2130" spans="1:8" ht="31.5">
      <c r="A2130" s="608" t="s">
        <v>315</v>
      </c>
      <c r="B2130" s="612" t="s">
        <v>628</v>
      </c>
      <c r="C2130" s="610" t="s">
        <v>379</v>
      </c>
      <c r="D2130" s="610" t="s">
        <v>379</v>
      </c>
      <c r="E2130" s="610" t="s">
        <v>379</v>
      </c>
      <c r="F2130" s="610" t="s">
        <v>379</v>
      </c>
      <c r="G2130" s="610" t="s">
        <v>379</v>
      </c>
      <c r="H2130" s="611" t="s">
        <v>626</v>
      </c>
    </row>
    <row r="2131" spans="1:8" ht="47.25">
      <c r="A2131" s="608" t="s">
        <v>317</v>
      </c>
      <c r="B2131" s="612" t="s">
        <v>629</v>
      </c>
      <c r="C2131" s="610" t="s">
        <v>379</v>
      </c>
      <c r="D2131" s="610" t="s">
        <v>379</v>
      </c>
      <c r="E2131" s="610" t="s">
        <v>379</v>
      </c>
      <c r="F2131" s="610" t="s">
        <v>379</v>
      </c>
      <c r="G2131" s="610" t="s">
        <v>379</v>
      </c>
      <c r="H2131" s="611" t="s">
        <v>626</v>
      </c>
    </row>
    <row r="2132" spans="1:8" ht="15.75">
      <c r="A2132" s="608" t="s">
        <v>630</v>
      </c>
      <c r="B2132" s="613" t="s">
        <v>631</v>
      </c>
      <c r="C2132" s="610" t="s">
        <v>379</v>
      </c>
      <c r="D2132" s="610" t="s">
        <v>379</v>
      </c>
      <c r="E2132" s="610" t="s">
        <v>379</v>
      </c>
      <c r="F2132" s="610" t="s">
        <v>379</v>
      </c>
      <c r="G2132" s="610" t="s">
        <v>379</v>
      </c>
      <c r="H2132" s="611" t="s">
        <v>626</v>
      </c>
    </row>
    <row r="2133" spans="1:8" ht="15.75">
      <c r="A2133" s="608" t="s">
        <v>632</v>
      </c>
      <c r="B2133" s="613" t="s">
        <v>633</v>
      </c>
      <c r="C2133" s="610" t="s">
        <v>379</v>
      </c>
      <c r="D2133" s="610" t="s">
        <v>379</v>
      </c>
      <c r="E2133" s="610" t="s">
        <v>379</v>
      </c>
      <c r="F2133" s="610" t="s">
        <v>379</v>
      </c>
      <c r="G2133" s="610" t="s">
        <v>379</v>
      </c>
      <c r="H2133" s="611" t="s">
        <v>626</v>
      </c>
    </row>
    <row r="2134" spans="1:8" ht="12.75" customHeight="1">
      <c r="A2134" s="608">
        <v>2</v>
      </c>
      <c r="B2134" s="706" t="s">
        <v>634</v>
      </c>
      <c r="C2134" s="706"/>
      <c r="D2134" s="706"/>
      <c r="E2134" s="706"/>
      <c r="F2134" s="706"/>
      <c r="G2134" s="706"/>
      <c r="H2134" s="706"/>
    </row>
    <row r="2135" spans="1:8" ht="31.5">
      <c r="A2135" s="608" t="s">
        <v>321</v>
      </c>
      <c r="B2135" s="612" t="s">
        <v>635</v>
      </c>
      <c r="C2135" s="610" t="s">
        <v>676</v>
      </c>
      <c r="D2135" s="610" t="s">
        <v>677</v>
      </c>
      <c r="E2135" s="610" t="s">
        <v>379</v>
      </c>
      <c r="F2135" s="610" t="s">
        <v>379</v>
      </c>
      <c r="G2135" s="614">
        <v>0</v>
      </c>
      <c r="H2135" s="611"/>
    </row>
    <row r="2136" spans="1:8" ht="47.25">
      <c r="A2136" s="608" t="s">
        <v>325</v>
      </c>
      <c r="B2136" s="612" t="s">
        <v>638</v>
      </c>
      <c r="C2136" s="610" t="s">
        <v>379</v>
      </c>
      <c r="D2136" s="610" t="s">
        <v>379</v>
      </c>
      <c r="E2136" s="610" t="s">
        <v>379</v>
      </c>
      <c r="F2136" s="610" t="s">
        <v>379</v>
      </c>
      <c r="G2136" s="610" t="s">
        <v>379</v>
      </c>
      <c r="H2136" s="611" t="s">
        <v>626</v>
      </c>
    </row>
    <row r="2137" spans="1:8" ht="31.5">
      <c r="A2137" s="608" t="s">
        <v>639</v>
      </c>
      <c r="B2137" s="612" t="s">
        <v>640</v>
      </c>
      <c r="C2137" s="610" t="s">
        <v>379</v>
      </c>
      <c r="D2137" s="610" t="s">
        <v>379</v>
      </c>
      <c r="E2137" s="610" t="s">
        <v>379</v>
      </c>
      <c r="F2137" s="610" t="s">
        <v>379</v>
      </c>
      <c r="G2137" s="610" t="s">
        <v>379</v>
      </c>
      <c r="H2137" s="611" t="s">
        <v>626</v>
      </c>
    </row>
    <row r="2138" spans="1:8" ht="12.75" customHeight="1">
      <c r="A2138" s="608">
        <v>3</v>
      </c>
      <c r="B2138" s="706" t="s">
        <v>641</v>
      </c>
      <c r="C2138" s="706"/>
      <c r="D2138" s="706"/>
      <c r="E2138" s="706"/>
      <c r="F2138" s="706"/>
      <c r="G2138" s="706"/>
      <c r="H2138" s="706"/>
    </row>
    <row r="2139" spans="1:8" ht="31.5">
      <c r="A2139" s="608" t="s">
        <v>378</v>
      </c>
      <c r="B2139" s="613" t="s">
        <v>642</v>
      </c>
      <c r="C2139" s="610" t="s">
        <v>379</v>
      </c>
      <c r="D2139" s="610" t="s">
        <v>379</v>
      </c>
      <c r="E2139" s="610" t="s">
        <v>379</v>
      </c>
      <c r="F2139" s="610" t="s">
        <v>379</v>
      </c>
      <c r="G2139" s="610" t="s">
        <v>379</v>
      </c>
      <c r="H2139" s="611" t="s">
        <v>626</v>
      </c>
    </row>
    <row r="2140" spans="1:8" ht="15.75">
      <c r="A2140" s="608" t="s">
        <v>643</v>
      </c>
      <c r="B2140" s="613" t="s">
        <v>644</v>
      </c>
      <c r="C2140" s="610" t="s">
        <v>676</v>
      </c>
      <c r="D2140" s="610" t="s">
        <v>678</v>
      </c>
      <c r="E2140" s="610" t="s">
        <v>379</v>
      </c>
      <c r="F2140" s="610" t="s">
        <v>379</v>
      </c>
      <c r="G2140" s="614">
        <v>0</v>
      </c>
      <c r="H2140" s="611"/>
    </row>
    <row r="2141" spans="1:8" ht="15.75">
      <c r="A2141" s="608" t="s">
        <v>380</v>
      </c>
      <c r="B2141" s="613" t="s">
        <v>646</v>
      </c>
      <c r="C2141" s="610" t="s">
        <v>679</v>
      </c>
      <c r="D2141" s="610" t="s">
        <v>680</v>
      </c>
      <c r="E2141" s="610" t="s">
        <v>379</v>
      </c>
      <c r="F2141" s="610" t="s">
        <v>379</v>
      </c>
      <c r="G2141" s="614">
        <v>0</v>
      </c>
      <c r="H2141" s="611"/>
    </row>
    <row r="2142" spans="1:8" ht="15.75">
      <c r="A2142" s="608" t="s">
        <v>649</v>
      </c>
      <c r="B2142" s="613" t="s">
        <v>650</v>
      </c>
      <c r="C2142" s="610" t="s">
        <v>681</v>
      </c>
      <c r="D2142" s="610" t="s">
        <v>682</v>
      </c>
      <c r="E2142" s="610" t="s">
        <v>379</v>
      </c>
      <c r="F2142" s="610" t="s">
        <v>379</v>
      </c>
      <c r="G2142" s="614">
        <v>0</v>
      </c>
      <c r="H2142" s="611"/>
    </row>
    <row r="2143" spans="1:8" ht="15.75">
      <c r="A2143" s="608" t="s">
        <v>653</v>
      </c>
      <c r="B2143" s="613" t="s">
        <v>654</v>
      </c>
      <c r="C2143" s="610" t="s">
        <v>682</v>
      </c>
      <c r="D2143" s="610" t="s">
        <v>677</v>
      </c>
      <c r="E2143" s="610" t="s">
        <v>379</v>
      </c>
      <c r="F2143" s="610" t="s">
        <v>379</v>
      </c>
      <c r="G2143" s="614">
        <v>0</v>
      </c>
      <c r="H2143" s="611"/>
    </row>
    <row r="2144" spans="1:8" ht="12.75" customHeight="1">
      <c r="A2144" s="608">
        <v>4</v>
      </c>
      <c r="B2144" s="706" t="s">
        <v>656</v>
      </c>
      <c r="C2144" s="706"/>
      <c r="D2144" s="706"/>
      <c r="E2144" s="706"/>
      <c r="F2144" s="706"/>
      <c r="G2144" s="706"/>
      <c r="H2144" s="706"/>
    </row>
    <row r="2145" spans="1:8" ht="31.5">
      <c r="A2145" s="608" t="s">
        <v>657</v>
      </c>
      <c r="B2145" s="612" t="s">
        <v>658</v>
      </c>
      <c r="C2145" s="610" t="s">
        <v>379</v>
      </c>
      <c r="D2145" s="610" t="s">
        <v>379</v>
      </c>
      <c r="E2145" s="610" t="s">
        <v>379</v>
      </c>
      <c r="F2145" s="610" t="s">
        <v>379</v>
      </c>
      <c r="G2145" s="610" t="s">
        <v>379</v>
      </c>
      <c r="H2145" s="611" t="s">
        <v>626</v>
      </c>
    </row>
    <row r="2146" spans="1:8" ht="47.25">
      <c r="A2146" s="608" t="s">
        <v>659</v>
      </c>
      <c r="B2146" s="612" t="s">
        <v>660</v>
      </c>
      <c r="C2146" s="610" t="s">
        <v>379</v>
      </c>
      <c r="D2146" s="610" t="s">
        <v>379</v>
      </c>
      <c r="E2146" s="610" t="s">
        <v>379</v>
      </c>
      <c r="F2146" s="610" t="s">
        <v>379</v>
      </c>
      <c r="G2146" s="610" t="s">
        <v>379</v>
      </c>
      <c r="H2146" s="611" t="s">
        <v>626</v>
      </c>
    </row>
    <row r="2147" spans="1:8" ht="31.5">
      <c r="A2147" s="608" t="s">
        <v>661</v>
      </c>
      <c r="B2147" s="613" t="s">
        <v>662</v>
      </c>
      <c r="C2147" s="610" t="s">
        <v>379</v>
      </c>
      <c r="D2147" s="610" t="s">
        <v>379</v>
      </c>
      <c r="E2147" s="610" t="s">
        <v>379</v>
      </c>
      <c r="F2147" s="610" t="s">
        <v>379</v>
      </c>
      <c r="G2147" s="610" t="s">
        <v>379</v>
      </c>
      <c r="H2147" s="611" t="s">
        <v>626</v>
      </c>
    </row>
    <row r="2148" spans="1:8" ht="31.5">
      <c r="A2148" s="615" t="s">
        <v>663</v>
      </c>
      <c r="B2148" s="616" t="s">
        <v>664</v>
      </c>
      <c r="C2148" s="617" t="s">
        <v>379</v>
      </c>
      <c r="D2148" s="617" t="s">
        <v>379</v>
      </c>
      <c r="E2148" s="617" t="s">
        <v>379</v>
      </c>
      <c r="F2148" s="617" t="s">
        <v>379</v>
      </c>
      <c r="G2148" s="617" t="s">
        <v>379</v>
      </c>
      <c r="H2148" s="618" t="s">
        <v>626</v>
      </c>
    </row>
    <row r="2149" spans="1:8" ht="15.75">
      <c r="A2149" s="619"/>
      <c r="B2149" s="620"/>
      <c r="C2149" s="621"/>
      <c r="D2149" s="621"/>
      <c r="E2149" s="621"/>
      <c r="F2149" s="621"/>
      <c r="G2149" s="621"/>
      <c r="H2149" s="148"/>
    </row>
    <row r="2150" spans="1:8" ht="12.75" customHeight="1">
      <c r="A2150" s="707" t="s">
        <v>665</v>
      </c>
      <c r="B2150" s="707"/>
      <c r="C2150" s="707"/>
      <c r="D2150" s="707"/>
      <c r="E2150" s="707"/>
      <c r="F2150" s="707"/>
      <c r="G2150" s="707"/>
      <c r="H2150" s="707"/>
    </row>
    <row r="2155" ht="15.75">
      <c r="H2155" s="11" t="s">
        <v>609</v>
      </c>
    </row>
    <row r="2156" ht="15.75">
      <c r="H2156" s="11" t="s">
        <v>610</v>
      </c>
    </row>
    <row r="2157" ht="15.75">
      <c r="H2157" s="11" t="s">
        <v>611</v>
      </c>
    </row>
    <row r="2158" ht="15.75">
      <c r="H2158" s="11"/>
    </row>
    <row r="2159" spans="1:8" ht="12.75" customHeight="1">
      <c r="A2159" s="713" t="s">
        <v>612</v>
      </c>
      <c r="B2159" s="713"/>
      <c r="C2159" s="713"/>
      <c r="D2159" s="713"/>
      <c r="E2159" s="713"/>
      <c r="F2159" s="713"/>
      <c r="G2159" s="713"/>
      <c r="H2159" s="713"/>
    </row>
    <row r="2160" spans="1:8" ht="12.75" customHeight="1">
      <c r="A2160" s="713" t="s">
        <v>613</v>
      </c>
      <c r="B2160" s="713"/>
      <c r="C2160" s="713"/>
      <c r="D2160" s="713"/>
      <c r="E2160" s="713"/>
      <c r="F2160" s="713"/>
      <c r="G2160" s="713"/>
      <c r="H2160" s="713"/>
    </row>
    <row r="2161" ht="15.75">
      <c r="H2161" s="11" t="s">
        <v>43</v>
      </c>
    </row>
    <row r="2162" ht="15.75">
      <c r="H2162" s="11" t="s">
        <v>44</v>
      </c>
    </row>
    <row r="2163" ht="15.75">
      <c r="H2163" s="11" t="s">
        <v>45</v>
      </c>
    </row>
    <row r="2164" ht="15.75">
      <c r="H2164" s="594" t="s">
        <v>614</v>
      </c>
    </row>
    <row r="2165" ht="15.75">
      <c r="H2165" s="11" t="s">
        <v>615</v>
      </c>
    </row>
    <row r="2166" ht="15.75">
      <c r="H2166" s="11" t="s">
        <v>47</v>
      </c>
    </row>
    <row r="2167" ht="15.75">
      <c r="A2167" s="595"/>
    </row>
    <row r="2168" ht="15.75">
      <c r="A2168" s="3" t="s">
        <v>775</v>
      </c>
    </row>
    <row r="2169" spans="1:8" ht="12.75" customHeight="1">
      <c r="A2169" s="717" t="s">
        <v>0</v>
      </c>
      <c r="B2169" s="714"/>
      <c r="C2169" s="714"/>
      <c r="D2169" s="714"/>
      <c r="E2169" s="714"/>
      <c r="F2169" s="714"/>
      <c r="G2169" s="714"/>
      <c r="H2169" s="714"/>
    </row>
    <row r="2170" spans="1:8" ht="16.5" thickBot="1">
      <c r="A2170" s="597"/>
      <c r="B2170" s="597"/>
      <c r="C2170" s="598"/>
      <c r="D2170" s="598"/>
      <c r="E2170" s="598"/>
      <c r="F2170" s="598"/>
      <c r="G2170" s="598"/>
      <c r="H2170" s="598"/>
    </row>
    <row r="2171" spans="1:8" ht="12.75" customHeight="1">
      <c r="A2171" s="708" t="s">
        <v>617</v>
      </c>
      <c r="B2171" s="710" t="s">
        <v>618</v>
      </c>
      <c r="C2171" s="711" t="s">
        <v>619</v>
      </c>
      <c r="D2171" s="711"/>
      <c r="E2171" s="711"/>
      <c r="F2171" s="711"/>
      <c r="G2171" s="712" t="s">
        <v>620</v>
      </c>
      <c r="H2171" s="708" t="s">
        <v>621</v>
      </c>
    </row>
    <row r="2172" spans="1:8" ht="15.75">
      <c r="A2172" s="708"/>
      <c r="B2172" s="710"/>
      <c r="C2172" s="711"/>
      <c r="D2172" s="711"/>
      <c r="E2172" s="711"/>
      <c r="F2172" s="711"/>
      <c r="G2172" s="712"/>
      <c r="H2172" s="708"/>
    </row>
    <row r="2173" spans="1:8" ht="31.5">
      <c r="A2173" s="708"/>
      <c r="B2173" s="710"/>
      <c r="C2173" s="601" t="s">
        <v>622</v>
      </c>
      <c r="D2173" s="601" t="s">
        <v>623</v>
      </c>
      <c r="E2173" s="602" t="s">
        <v>622</v>
      </c>
      <c r="F2173" s="603" t="s">
        <v>623</v>
      </c>
      <c r="G2173" s="712"/>
      <c r="H2173" s="708"/>
    </row>
    <row r="2174" spans="1:8" ht="15.75">
      <c r="A2174" s="599">
        <v>1</v>
      </c>
      <c r="B2174" s="599">
        <v>2</v>
      </c>
      <c r="C2174" s="604">
        <v>3</v>
      </c>
      <c r="D2174" s="604">
        <v>4</v>
      </c>
      <c r="E2174" s="605"/>
      <c r="F2174" s="606"/>
      <c r="G2174" s="600">
        <v>5</v>
      </c>
      <c r="H2174" s="599">
        <v>6</v>
      </c>
    </row>
    <row r="2175" spans="1:8" ht="12.75" customHeight="1">
      <c r="A2175" s="607">
        <v>1</v>
      </c>
      <c r="B2175" s="709" t="s">
        <v>624</v>
      </c>
      <c r="C2175" s="709"/>
      <c r="D2175" s="709"/>
      <c r="E2175" s="709"/>
      <c r="F2175" s="709"/>
      <c r="G2175" s="709"/>
      <c r="H2175" s="709"/>
    </row>
    <row r="2176" spans="1:8" ht="15.75">
      <c r="A2176" s="608" t="s">
        <v>74</v>
      </c>
      <c r="B2176" s="609" t="s">
        <v>625</v>
      </c>
      <c r="C2176" s="610" t="s">
        <v>379</v>
      </c>
      <c r="D2176" s="610" t="s">
        <v>379</v>
      </c>
      <c r="E2176" s="610" t="s">
        <v>379</v>
      </c>
      <c r="F2176" s="610" t="s">
        <v>379</v>
      </c>
      <c r="G2176" s="610" t="s">
        <v>379</v>
      </c>
      <c r="H2176" s="611" t="s">
        <v>626</v>
      </c>
    </row>
    <row r="2177" spans="1:8" ht="15.75">
      <c r="A2177" s="608" t="s">
        <v>313</v>
      </c>
      <c r="B2177" s="609" t="s">
        <v>627</v>
      </c>
      <c r="C2177" s="610" t="s">
        <v>379</v>
      </c>
      <c r="D2177" s="610" t="s">
        <v>379</v>
      </c>
      <c r="E2177" s="610" t="s">
        <v>379</v>
      </c>
      <c r="F2177" s="610" t="s">
        <v>379</v>
      </c>
      <c r="G2177" s="610" t="s">
        <v>379</v>
      </c>
      <c r="H2177" s="611" t="s">
        <v>626</v>
      </c>
    </row>
    <row r="2178" spans="1:8" ht="31.5">
      <c r="A2178" s="608" t="s">
        <v>315</v>
      </c>
      <c r="B2178" s="612" t="s">
        <v>628</v>
      </c>
      <c r="C2178" s="610" t="s">
        <v>379</v>
      </c>
      <c r="D2178" s="610" t="s">
        <v>379</v>
      </c>
      <c r="E2178" s="610" t="s">
        <v>379</v>
      </c>
      <c r="F2178" s="610" t="s">
        <v>379</v>
      </c>
      <c r="G2178" s="610" t="s">
        <v>379</v>
      </c>
      <c r="H2178" s="611" t="s">
        <v>626</v>
      </c>
    </row>
    <row r="2179" spans="1:8" ht="47.25">
      <c r="A2179" s="608" t="s">
        <v>317</v>
      </c>
      <c r="B2179" s="612" t="s">
        <v>629</v>
      </c>
      <c r="C2179" s="610" t="s">
        <v>379</v>
      </c>
      <c r="D2179" s="610" t="s">
        <v>379</v>
      </c>
      <c r="E2179" s="610" t="s">
        <v>379</v>
      </c>
      <c r="F2179" s="610" t="s">
        <v>379</v>
      </c>
      <c r="G2179" s="610" t="s">
        <v>379</v>
      </c>
      <c r="H2179" s="611" t="s">
        <v>626</v>
      </c>
    </row>
    <row r="2180" spans="1:8" ht="15.75">
      <c r="A2180" s="608" t="s">
        <v>630</v>
      </c>
      <c r="B2180" s="613" t="s">
        <v>631</v>
      </c>
      <c r="C2180" s="610" t="s">
        <v>379</v>
      </c>
      <c r="D2180" s="610" t="s">
        <v>379</v>
      </c>
      <c r="E2180" s="610" t="s">
        <v>379</v>
      </c>
      <c r="F2180" s="610" t="s">
        <v>379</v>
      </c>
      <c r="G2180" s="610" t="s">
        <v>379</v>
      </c>
      <c r="H2180" s="611" t="s">
        <v>626</v>
      </c>
    </row>
    <row r="2181" spans="1:8" ht="15.75">
      <c r="A2181" s="608" t="s">
        <v>632</v>
      </c>
      <c r="B2181" s="613" t="s">
        <v>633</v>
      </c>
      <c r="C2181" s="610" t="s">
        <v>379</v>
      </c>
      <c r="D2181" s="610" t="s">
        <v>379</v>
      </c>
      <c r="E2181" s="610" t="s">
        <v>379</v>
      </c>
      <c r="F2181" s="610" t="s">
        <v>379</v>
      </c>
      <c r="G2181" s="610" t="s">
        <v>379</v>
      </c>
      <c r="H2181" s="611" t="s">
        <v>626</v>
      </c>
    </row>
    <row r="2182" spans="1:8" ht="12.75" customHeight="1">
      <c r="A2182" s="608">
        <v>2</v>
      </c>
      <c r="B2182" s="706" t="s">
        <v>634</v>
      </c>
      <c r="C2182" s="706"/>
      <c r="D2182" s="706"/>
      <c r="E2182" s="706"/>
      <c r="F2182" s="706"/>
      <c r="G2182" s="706"/>
      <c r="H2182" s="706"/>
    </row>
    <row r="2183" spans="1:8" ht="31.5">
      <c r="A2183" s="608" t="s">
        <v>321</v>
      </c>
      <c r="B2183" s="612" t="s">
        <v>635</v>
      </c>
      <c r="C2183" s="610" t="s">
        <v>776</v>
      </c>
      <c r="D2183" s="610" t="s">
        <v>677</v>
      </c>
      <c r="E2183" s="610" t="s">
        <v>379</v>
      </c>
      <c r="F2183" s="610" t="s">
        <v>379</v>
      </c>
      <c r="G2183" s="614">
        <v>0</v>
      </c>
      <c r="H2183" s="611"/>
    </row>
    <row r="2184" spans="1:8" ht="47.25">
      <c r="A2184" s="608" t="s">
        <v>325</v>
      </c>
      <c r="B2184" s="612" t="s">
        <v>638</v>
      </c>
      <c r="C2184" s="610" t="s">
        <v>379</v>
      </c>
      <c r="D2184" s="610" t="s">
        <v>379</v>
      </c>
      <c r="E2184" s="610" t="s">
        <v>379</v>
      </c>
      <c r="F2184" s="610" t="s">
        <v>379</v>
      </c>
      <c r="G2184" s="610" t="s">
        <v>379</v>
      </c>
      <c r="H2184" s="611" t="s">
        <v>626</v>
      </c>
    </row>
    <row r="2185" spans="1:8" ht="31.5">
      <c r="A2185" s="608" t="s">
        <v>639</v>
      </c>
      <c r="B2185" s="612" t="s">
        <v>640</v>
      </c>
      <c r="C2185" s="610" t="s">
        <v>379</v>
      </c>
      <c r="D2185" s="610" t="s">
        <v>379</v>
      </c>
      <c r="E2185" s="610" t="s">
        <v>379</v>
      </c>
      <c r="F2185" s="610" t="s">
        <v>379</v>
      </c>
      <c r="G2185" s="610" t="s">
        <v>379</v>
      </c>
      <c r="H2185" s="611" t="s">
        <v>626</v>
      </c>
    </row>
    <row r="2186" spans="1:8" ht="12.75" customHeight="1">
      <c r="A2186" s="608">
        <v>3</v>
      </c>
      <c r="B2186" s="706" t="s">
        <v>674</v>
      </c>
      <c r="C2186" s="706"/>
      <c r="D2186" s="706"/>
      <c r="E2186" s="706"/>
      <c r="F2186" s="706"/>
      <c r="G2186" s="706"/>
      <c r="H2186" s="706"/>
    </row>
    <row r="2187" spans="1:8" ht="31.5">
      <c r="A2187" s="608" t="s">
        <v>378</v>
      </c>
      <c r="B2187" s="613" t="s">
        <v>642</v>
      </c>
      <c r="C2187" s="610" t="s">
        <v>379</v>
      </c>
      <c r="D2187" s="610" t="s">
        <v>379</v>
      </c>
      <c r="E2187" s="610" t="s">
        <v>379</v>
      </c>
      <c r="F2187" s="610" t="s">
        <v>379</v>
      </c>
      <c r="G2187" s="610" t="s">
        <v>379</v>
      </c>
      <c r="H2187" s="611" t="s">
        <v>626</v>
      </c>
    </row>
    <row r="2188" spans="1:8" ht="15.75">
      <c r="A2188" s="608" t="s">
        <v>643</v>
      </c>
      <c r="B2188" s="613" t="s">
        <v>644</v>
      </c>
      <c r="C2188" s="610" t="s">
        <v>676</v>
      </c>
      <c r="D2188" s="610" t="s">
        <v>777</v>
      </c>
      <c r="E2188" s="610" t="s">
        <v>379</v>
      </c>
      <c r="F2188" s="610" t="s">
        <v>379</v>
      </c>
      <c r="G2188" s="614">
        <v>0</v>
      </c>
      <c r="H2188" s="611"/>
    </row>
    <row r="2189" spans="1:8" ht="15.75">
      <c r="A2189" s="608" t="s">
        <v>380</v>
      </c>
      <c r="B2189" s="613" t="s">
        <v>646</v>
      </c>
      <c r="C2189" s="610" t="s">
        <v>778</v>
      </c>
      <c r="D2189" s="610" t="s">
        <v>680</v>
      </c>
      <c r="E2189" s="610" t="s">
        <v>379</v>
      </c>
      <c r="F2189" s="610" t="s">
        <v>379</v>
      </c>
      <c r="G2189" s="614">
        <v>0</v>
      </c>
      <c r="H2189" s="611"/>
    </row>
    <row r="2190" spans="1:8" ht="15.75">
      <c r="A2190" s="608" t="s">
        <v>649</v>
      </c>
      <c r="B2190" s="613" t="s">
        <v>650</v>
      </c>
      <c r="C2190" s="610" t="s">
        <v>681</v>
      </c>
      <c r="D2190" s="610" t="s">
        <v>701</v>
      </c>
      <c r="E2190" s="610" t="s">
        <v>379</v>
      </c>
      <c r="F2190" s="610" t="s">
        <v>379</v>
      </c>
      <c r="G2190" s="614">
        <v>0</v>
      </c>
      <c r="H2190" s="611"/>
    </row>
    <row r="2191" spans="1:8" ht="15.75">
      <c r="A2191" s="608" t="s">
        <v>653</v>
      </c>
      <c r="B2191" s="613" t="s">
        <v>654</v>
      </c>
      <c r="C2191" s="610" t="s">
        <v>682</v>
      </c>
      <c r="D2191" s="610" t="s">
        <v>677</v>
      </c>
      <c r="E2191" s="610" t="s">
        <v>379</v>
      </c>
      <c r="F2191" s="610" t="s">
        <v>379</v>
      </c>
      <c r="G2191" s="614">
        <v>0</v>
      </c>
      <c r="H2191" s="611"/>
    </row>
    <row r="2192" spans="1:8" ht="12.75" customHeight="1">
      <c r="A2192" s="608">
        <v>4</v>
      </c>
      <c r="B2192" s="706" t="s">
        <v>656</v>
      </c>
      <c r="C2192" s="706"/>
      <c r="D2192" s="706"/>
      <c r="E2192" s="706"/>
      <c r="F2192" s="706"/>
      <c r="G2192" s="706"/>
      <c r="H2192" s="706"/>
    </row>
    <row r="2193" spans="1:8" ht="31.5">
      <c r="A2193" s="608" t="s">
        <v>657</v>
      </c>
      <c r="B2193" s="612" t="s">
        <v>658</v>
      </c>
      <c r="C2193" s="610" t="s">
        <v>379</v>
      </c>
      <c r="D2193" s="610" t="s">
        <v>379</v>
      </c>
      <c r="E2193" s="610" t="s">
        <v>379</v>
      </c>
      <c r="F2193" s="610" t="s">
        <v>379</v>
      </c>
      <c r="G2193" s="610" t="s">
        <v>379</v>
      </c>
      <c r="H2193" s="611" t="s">
        <v>626</v>
      </c>
    </row>
    <row r="2194" spans="1:8" ht="47.25">
      <c r="A2194" s="608" t="s">
        <v>659</v>
      </c>
      <c r="B2194" s="612" t="s">
        <v>660</v>
      </c>
      <c r="C2194" s="610" t="s">
        <v>379</v>
      </c>
      <c r="D2194" s="610" t="s">
        <v>379</v>
      </c>
      <c r="E2194" s="610" t="s">
        <v>379</v>
      </c>
      <c r="F2194" s="610" t="s">
        <v>379</v>
      </c>
      <c r="G2194" s="610" t="s">
        <v>379</v>
      </c>
      <c r="H2194" s="611" t="s">
        <v>626</v>
      </c>
    </row>
    <row r="2195" spans="1:8" ht="31.5">
      <c r="A2195" s="608" t="s">
        <v>661</v>
      </c>
      <c r="B2195" s="613" t="s">
        <v>662</v>
      </c>
      <c r="C2195" s="610" t="s">
        <v>379</v>
      </c>
      <c r="D2195" s="610" t="s">
        <v>379</v>
      </c>
      <c r="E2195" s="610" t="s">
        <v>379</v>
      </c>
      <c r="F2195" s="610" t="s">
        <v>379</v>
      </c>
      <c r="G2195" s="610" t="s">
        <v>379</v>
      </c>
      <c r="H2195" s="611" t="s">
        <v>626</v>
      </c>
    </row>
    <row r="2196" spans="1:8" ht="31.5">
      <c r="A2196" s="615" t="s">
        <v>663</v>
      </c>
      <c r="B2196" s="616" t="s">
        <v>664</v>
      </c>
      <c r="C2196" s="617" t="s">
        <v>379</v>
      </c>
      <c r="D2196" s="617" t="s">
        <v>379</v>
      </c>
      <c r="E2196" s="617" t="s">
        <v>379</v>
      </c>
      <c r="F2196" s="617" t="s">
        <v>379</v>
      </c>
      <c r="G2196" s="617" t="s">
        <v>379</v>
      </c>
      <c r="H2196" s="618" t="s">
        <v>626</v>
      </c>
    </row>
    <row r="2197" spans="1:8" ht="15.75">
      <c r="A2197" s="619"/>
      <c r="B2197" s="620"/>
      <c r="C2197" s="621"/>
      <c r="D2197" s="621"/>
      <c r="E2197" s="621"/>
      <c r="F2197" s="621"/>
      <c r="G2197" s="621"/>
      <c r="H2197" s="148"/>
    </row>
    <row r="2198" spans="1:8" ht="12.75" customHeight="1">
      <c r="A2198" s="707" t="s">
        <v>665</v>
      </c>
      <c r="B2198" s="707"/>
      <c r="C2198" s="707"/>
      <c r="D2198" s="707"/>
      <c r="E2198" s="707"/>
      <c r="F2198" s="707"/>
      <c r="G2198" s="707"/>
      <c r="H2198" s="707"/>
    </row>
    <row r="2199" spans="1:8" ht="15.75">
      <c r="A2199" s="622"/>
      <c r="B2199" s="622"/>
      <c r="C2199" s="622"/>
      <c r="D2199" s="622"/>
      <c r="E2199" s="622"/>
      <c r="F2199" s="622"/>
      <c r="G2199" s="622"/>
      <c r="H2199" s="622"/>
    </row>
    <row r="2200" spans="1:8" ht="15.75">
      <c r="A2200" s="622"/>
      <c r="B2200" s="622"/>
      <c r="C2200" s="622"/>
      <c r="D2200" s="622"/>
      <c r="E2200" s="622"/>
      <c r="F2200" s="622"/>
      <c r="G2200" s="622"/>
      <c r="H2200" s="622"/>
    </row>
    <row r="2203" ht="15.75">
      <c r="H2203" s="11" t="s">
        <v>609</v>
      </c>
    </row>
    <row r="2204" ht="15.75">
      <c r="H2204" s="11" t="s">
        <v>610</v>
      </c>
    </row>
    <row r="2205" ht="15.75">
      <c r="H2205" s="11" t="s">
        <v>611</v>
      </c>
    </row>
    <row r="2206" ht="15.75">
      <c r="H2206" s="11"/>
    </row>
    <row r="2207" spans="1:8" ht="12.75" customHeight="1">
      <c r="A2207" s="713" t="s">
        <v>612</v>
      </c>
      <c r="B2207" s="713"/>
      <c r="C2207" s="713"/>
      <c r="D2207" s="713"/>
      <c r="E2207" s="713"/>
      <c r="F2207" s="713"/>
      <c r="G2207" s="713"/>
      <c r="H2207" s="713"/>
    </row>
    <row r="2208" spans="1:8" ht="12.75" customHeight="1">
      <c r="A2208" s="713" t="s">
        <v>613</v>
      </c>
      <c r="B2208" s="713"/>
      <c r="C2208" s="713"/>
      <c r="D2208" s="713"/>
      <c r="E2208" s="713"/>
      <c r="F2208" s="713"/>
      <c r="G2208" s="713"/>
      <c r="H2208" s="713"/>
    </row>
    <row r="2209" ht="15.75">
      <c r="H2209" s="11" t="s">
        <v>43</v>
      </c>
    </row>
    <row r="2210" ht="15.75">
      <c r="H2210" s="11" t="s">
        <v>44</v>
      </c>
    </row>
    <row r="2211" ht="15.75">
      <c r="H2211" s="11" t="s">
        <v>45</v>
      </c>
    </row>
    <row r="2212" ht="15.75">
      <c r="H2212" s="594" t="s">
        <v>614</v>
      </c>
    </row>
    <row r="2213" ht="15.75">
      <c r="H2213" s="11" t="s">
        <v>615</v>
      </c>
    </row>
    <row r="2214" ht="15.75">
      <c r="H2214" s="11" t="s">
        <v>47</v>
      </c>
    </row>
    <row r="2215" ht="15.75">
      <c r="A2215" s="595"/>
    </row>
    <row r="2216" ht="15.75">
      <c r="A2216" s="3" t="s">
        <v>779</v>
      </c>
    </row>
    <row r="2217" spans="1:8" ht="12.75" customHeight="1">
      <c r="A2217" s="717" t="s">
        <v>0</v>
      </c>
      <c r="B2217" s="714"/>
      <c r="C2217" s="714"/>
      <c r="D2217" s="714"/>
      <c r="E2217" s="714"/>
      <c r="F2217" s="714"/>
      <c r="G2217" s="714"/>
      <c r="H2217" s="714"/>
    </row>
    <row r="2218" spans="1:8" ht="16.5" thickBot="1">
      <c r="A2218" s="597"/>
      <c r="B2218" s="597"/>
      <c r="C2218" s="598"/>
      <c r="D2218" s="598"/>
      <c r="E2218" s="598"/>
      <c r="F2218" s="598"/>
      <c r="G2218" s="598"/>
      <c r="H2218" s="598"/>
    </row>
    <row r="2219" spans="1:8" ht="12.75" customHeight="1">
      <c r="A2219" s="708" t="s">
        <v>617</v>
      </c>
      <c r="B2219" s="710" t="s">
        <v>618</v>
      </c>
      <c r="C2219" s="711" t="s">
        <v>619</v>
      </c>
      <c r="D2219" s="711"/>
      <c r="E2219" s="711"/>
      <c r="F2219" s="711"/>
      <c r="G2219" s="712" t="s">
        <v>620</v>
      </c>
      <c r="H2219" s="708" t="s">
        <v>621</v>
      </c>
    </row>
    <row r="2220" spans="1:8" ht="15.75">
      <c r="A2220" s="708"/>
      <c r="B2220" s="710"/>
      <c r="C2220" s="711"/>
      <c r="D2220" s="711"/>
      <c r="E2220" s="711"/>
      <c r="F2220" s="711"/>
      <c r="G2220" s="712"/>
      <c r="H2220" s="708"/>
    </row>
    <row r="2221" spans="1:8" ht="31.5">
      <c r="A2221" s="708"/>
      <c r="B2221" s="710"/>
      <c r="C2221" s="601" t="s">
        <v>622</v>
      </c>
      <c r="D2221" s="601" t="s">
        <v>623</v>
      </c>
      <c r="E2221" s="602" t="s">
        <v>622</v>
      </c>
      <c r="F2221" s="603" t="s">
        <v>623</v>
      </c>
      <c r="G2221" s="712"/>
      <c r="H2221" s="708"/>
    </row>
    <row r="2222" spans="1:8" ht="15.75">
      <c r="A2222" s="599">
        <v>1</v>
      </c>
      <c r="B2222" s="599">
        <v>2</v>
      </c>
      <c r="C2222" s="604">
        <v>3</v>
      </c>
      <c r="D2222" s="604">
        <v>4</v>
      </c>
      <c r="E2222" s="605"/>
      <c r="F2222" s="606"/>
      <c r="G2222" s="600">
        <v>5</v>
      </c>
      <c r="H2222" s="599">
        <v>6</v>
      </c>
    </row>
    <row r="2223" spans="1:8" ht="12.75" customHeight="1">
      <c r="A2223" s="607">
        <v>1</v>
      </c>
      <c r="B2223" s="709" t="s">
        <v>624</v>
      </c>
      <c r="C2223" s="709"/>
      <c r="D2223" s="709"/>
      <c r="E2223" s="709"/>
      <c r="F2223" s="709"/>
      <c r="G2223" s="709"/>
      <c r="H2223" s="709"/>
    </row>
    <row r="2224" spans="1:8" ht="15.75">
      <c r="A2224" s="608" t="s">
        <v>74</v>
      </c>
      <c r="B2224" s="609" t="s">
        <v>625</v>
      </c>
      <c r="C2224" s="610" t="s">
        <v>379</v>
      </c>
      <c r="D2224" s="610" t="s">
        <v>379</v>
      </c>
      <c r="E2224" s="610" t="s">
        <v>379</v>
      </c>
      <c r="F2224" s="610" t="s">
        <v>379</v>
      </c>
      <c r="G2224" s="610" t="s">
        <v>379</v>
      </c>
      <c r="H2224" s="611" t="s">
        <v>626</v>
      </c>
    </row>
    <row r="2225" spans="1:8" ht="15.75">
      <c r="A2225" s="608" t="s">
        <v>313</v>
      </c>
      <c r="B2225" s="609" t="s">
        <v>627</v>
      </c>
      <c r="C2225" s="610" t="s">
        <v>379</v>
      </c>
      <c r="D2225" s="610" t="s">
        <v>379</v>
      </c>
      <c r="E2225" s="610" t="s">
        <v>379</v>
      </c>
      <c r="F2225" s="610" t="s">
        <v>379</v>
      </c>
      <c r="G2225" s="610" t="s">
        <v>379</v>
      </c>
      <c r="H2225" s="611" t="s">
        <v>626</v>
      </c>
    </row>
    <row r="2226" spans="1:8" ht="31.5">
      <c r="A2226" s="608" t="s">
        <v>315</v>
      </c>
      <c r="B2226" s="612" t="s">
        <v>628</v>
      </c>
      <c r="C2226" s="610" t="s">
        <v>379</v>
      </c>
      <c r="D2226" s="610" t="s">
        <v>379</v>
      </c>
      <c r="E2226" s="610" t="s">
        <v>379</v>
      </c>
      <c r="F2226" s="610" t="s">
        <v>379</v>
      </c>
      <c r="G2226" s="610" t="s">
        <v>379</v>
      </c>
      <c r="H2226" s="611" t="s">
        <v>626</v>
      </c>
    </row>
    <row r="2227" spans="1:8" ht="47.25">
      <c r="A2227" s="608" t="s">
        <v>317</v>
      </c>
      <c r="B2227" s="612" t="s">
        <v>629</v>
      </c>
      <c r="C2227" s="610" t="s">
        <v>379</v>
      </c>
      <c r="D2227" s="610" t="s">
        <v>379</v>
      </c>
      <c r="E2227" s="610" t="s">
        <v>379</v>
      </c>
      <c r="F2227" s="610" t="s">
        <v>379</v>
      </c>
      <c r="G2227" s="610" t="s">
        <v>379</v>
      </c>
      <c r="H2227" s="611" t="s">
        <v>626</v>
      </c>
    </row>
    <row r="2228" spans="1:8" ht="15.75">
      <c r="A2228" s="608" t="s">
        <v>630</v>
      </c>
      <c r="B2228" s="613" t="s">
        <v>631</v>
      </c>
      <c r="C2228" s="610" t="s">
        <v>379</v>
      </c>
      <c r="D2228" s="610" t="s">
        <v>379</v>
      </c>
      <c r="E2228" s="610" t="s">
        <v>379</v>
      </c>
      <c r="F2228" s="610" t="s">
        <v>379</v>
      </c>
      <c r="G2228" s="610" t="s">
        <v>379</v>
      </c>
      <c r="H2228" s="611" t="s">
        <v>626</v>
      </c>
    </row>
    <row r="2229" spans="1:8" ht="15.75">
      <c r="A2229" s="608" t="s">
        <v>632</v>
      </c>
      <c r="B2229" s="613" t="s">
        <v>633</v>
      </c>
      <c r="C2229" s="610" t="s">
        <v>379</v>
      </c>
      <c r="D2229" s="610" t="s">
        <v>379</v>
      </c>
      <c r="E2229" s="610" t="s">
        <v>379</v>
      </c>
      <c r="F2229" s="610" t="s">
        <v>379</v>
      </c>
      <c r="G2229" s="610" t="s">
        <v>379</v>
      </c>
      <c r="H2229" s="611" t="s">
        <v>626</v>
      </c>
    </row>
    <row r="2230" spans="1:8" ht="12.75" customHeight="1">
      <c r="A2230" s="608">
        <v>2</v>
      </c>
      <c r="B2230" s="706" t="s">
        <v>634</v>
      </c>
      <c r="C2230" s="706"/>
      <c r="D2230" s="706"/>
      <c r="E2230" s="706"/>
      <c r="F2230" s="706"/>
      <c r="G2230" s="706"/>
      <c r="H2230" s="706"/>
    </row>
    <row r="2231" spans="1:8" ht="31.5">
      <c r="A2231" s="608" t="s">
        <v>321</v>
      </c>
      <c r="B2231" s="612" t="s">
        <v>635</v>
      </c>
      <c r="C2231" s="610" t="s">
        <v>776</v>
      </c>
      <c r="D2231" s="610" t="s">
        <v>677</v>
      </c>
      <c r="E2231" s="610" t="s">
        <v>379</v>
      </c>
      <c r="F2231" s="610" t="s">
        <v>379</v>
      </c>
      <c r="G2231" s="614">
        <v>0</v>
      </c>
      <c r="H2231" s="611"/>
    </row>
    <row r="2232" spans="1:8" ht="47.25">
      <c r="A2232" s="608" t="s">
        <v>325</v>
      </c>
      <c r="B2232" s="612" t="s">
        <v>638</v>
      </c>
      <c r="C2232" s="610" t="s">
        <v>379</v>
      </c>
      <c r="D2232" s="610" t="s">
        <v>379</v>
      </c>
      <c r="E2232" s="610" t="s">
        <v>379</v>
      </c>
      <c r="F2232" s="610" t="s">
        <v>379</v>
      </c>
      <c r="G2232" s="610" t="s">
        <v>379</v>
      </c>
      <c r="H2232" s="611" t="s">
        <v>626</v>
      </c>
    </row>
    <row r="2233" spans="1:8" ht="31.5">
      <c r="A2233" s="608" t="s">
        <v>639</v>
      </c>
      <c r="B2233" s="612" t="s">
        <v>640</v>
      </c>
      <c r="C2233" s="610" t="s">
        <v>379</v>
      </c>
      <c r="D2233" s="610" t="s">
        <v>379</v>
      </c>
      <c r="E2233" s="610" t="s">
        <v>379</v>
      </c>
      <c r="F2233" s="610" t="s">
        <v>379</v>
      </c>
      <c r="G2233" s="610" t="s">
        <v>379</v>
      </c>
      <c r="H2233" s="611" t="s">
        <v>626</v>
      </c>
    </row>
    <row r="2234" spans="1:8" ht="12.75" customHeight="1">
      <c r="A2234" s="608">
        <v>3</v>
      </c>
      <c r="B2234" s="706" t="s">
        <v>674</v>
      </c>
      <c r="C2234" s="706"/>
      <c r="D2234" s="706"/>
      <c r="E2234" s="706"/>
      <c r="F2234" s="706"/>
      <c r="G2234" s="706"/>
      <c r="H2234" s="706"/>
    </row>
    <row r="2235" spans="1:8" ht="31.5">
      <c r="A2235" s="608" t="s">
        <v>378</v>
      </c>
      <c r="B2235" s="613" t="s">
        <v>642</v>
      </c>
      <c r="C2235" s="610" t="s">
        <v>379</v>
      </c>
      <c r="D2235" s="610" t="s">
        <v>379</v>
      </c>
      <c r="E2235" s="610" t="s">
        <v>379</v>
      </c>
      <c r="F2235" s="610" t="s">
        <v>379</v>
      </c>
      <c r="G2235" s="610" t="s">
        <v>379</v>
      </c>
      <c r="H2235" s="611" t="s">
        <v>626</v>
      </c>
    </row>
    <row r="2236" spans="1:8" ht="15.75">
      <c r="A2236" s="608" t="s">
        <v>643</v>
      </c>
      <c r="B2236" s="613" t="s">
        <v>644</v>
      </c>
      <c r="C2236" s="610" t="s">
        <v>676</v>
      </c>
      <c r="D2236" s="610" t="s">
        <v>777</v>
      </c>
      <c r="E2236" s="610" t="s">
        <v>379</v>
      </c>
      <c r="F2236" s="610" t="s">
        <v>379</v>
      </c>
      <c r="G2236" s="614">
        <v>0</v>
      </c>
      <c r="H2236" s="611"/>
    </row>
    <row r="2237" spans="1:8" ht="15.75">
      <c r="A2237" s="608" t="s">
        <v>380</v>
      </c>
      <c r="B2237" s="613" t="s">
        <v>646</v>
      </c>
      <c r="C2237" s="610" t="s">
        <v>778</v>
      </c>
      <c r="D2237" s="610" t="s">
        <v>680</v>
      </c>
      <c r="E2237" s="610" t="s">
        <v>379</v>
      </c>
      <c r="F2237" s="610" t="s">
        <v>379</v>
      </c>
      <c r="G2237" s="614">
        <v>0</v>
      </c>
      <c r="H2237" s="611"/>
    </row>
    <row r="2238" spans="1:8" ht="15.75">
      <c r="A2238" s="608" t="s">
        <v>649</v>
      </c>
      <c r="B2238" s="613" t="s">
        <v>650</v>
      </c>
      <c r="C2238" s="610" t="s">
        <v>681</v>
      </c>
      <c r="D2238" s="610" t="s">
        <v>701</v>
      </c>
      <c r="E2238" s="610" t="s">
        <v>379</v>
      </c>
      <c r="F2238" s="610" t="s">
        <v>379</v>
      </c>
      <c r="G2238" s="614">
        <v>0</v>
      </c>
      <c r="H2238" s="611"/>
    </row>
    <row r="2239" spans="1:8" ht="15.75">
      <c r="A2239" s="608" t="s">
        <v>653</v>
      </c>
      <c r="B2239" s="613" t="s">
        <v>654</v>
      </c>
      <c r="C2239" s="610" t="s">
        <v>682</v>
      </c>
      <c r="D2239" s="610" t="s">
        <v>677</v>
      </c>
      <c r="E2239" s="610" t="s">
        <v>379</v>
      </c>
      <c r="F2239" s="610" t="s">
        <v>379</v>
      </c>
      <c r="G2239" s="614">
        <v>0</v>
      </c>
      <c r="H2239" s="611"/>
    </row>
    <row r="2240" spans="1:8" ht="12.75" customHeight="1">
      <c r="A2240" s="608">
        <v>4</v>
      </c>
      <c r="B2240" s="706" t="s">
        <v>656</v>
      </c>
      <c r="C2240" s="706"/>
      <c r="D2240" s="706"/>
      <c r="E2240" s="706"/>
      <c r="F2240" s="706"/>
      <c r="G2240" s="706"/>
      <c r="H2240" s="706"/>
    </row>
    <row r="2241" spans="1:8" ht="31.5">
      <c r="A2241" s="608" t="s">
        <v>657</v>
      </c>
      <c r="B2241" s="612" t="s">
        <v>658</v>
      </c>
      <c r="C2241" s="610" t="s">
        <v>379</v>
      </c>
      <c r="D2241" s="610" t="s">
        <v>379</v>
      </c>
      <c r="E2241" s="610" t="s">
        <v>379</v>
      </c>
      <c r="F2241" s="610" t="s">
        <v>379</v>
      </c>
      <c r="G2241" s="610" t="s">
        <v>379</v>
      </c>
      <c r="H2241" s="611" t="s">
        <v>626</v>
      </c>
    </row>
    <row r="2242" spans="1:8" ht="47.25">
      <c r="A2242" s="608" t="s">
        <v>659</v>
      </c>
      <c r="B2242" s="612" t="s">
        <v>660</v>
      </c>
      <c r="C2242" s="610" t="s">
        <v>379</v>
      </c>
      <c r="D2242" s="610" t="s">
        <v>379</v>
      </c>
      <c r="E2242" s="610" t="s">
        <v>379</v>
      </c>
      <c r="F2242" s="610" t="s">
        <v>379</v>
      </c>
      <c r="G2242" s="610" t="s">
        <v>379</v>
      </c>
      <c r="H2242" s="611" t="s">
        <v>626</v>
      </c>
    </row>
    <row r="2243" spans="1:8" ht="31.5">
      <c r="A2243" s="608" t="s">
        <v>661</v>
      </c>
      <c r="B2243" s="613" t="s">
        <v>662</v>
      </c>
      <c r="C2243" s="610" t="s">
        <v>379</v>
      </c>
      <c r="D2243" s="610" t="s">
        <v>379</v>
      </c>
      <c r="E2243" s="610" t="s">
        <v>379</v>
      </c>
      <c r="F2243" s="610" t="s">
        <v>379</v>
      </c>
      <c r="G2243" s="610" t="s">
        <v>379</v>
      </c>
      <c r="H2243" s="611" t="s">
        <v>626</v>
      </c>
    </row>
    <row r="2244" spans="1:8" ht="31.5">
      <c r="A2244" s="615" t="s">
        <v>663</v>
      </c>
      <c r="B2244" s="616" t="s">
        <v>664</v>
      </c>
      <c r="C2244" s="617" t="s">
        <v>379</v>
      </c>
      <c r="D2244" s="617" t="s">
        <v>379</v>
      </c>
      <c r="E2244" s="617" t="s">
        <v>379</v>
      </c>
      <c r="F2244" s="617" t="s">
        <v>379</v>
      </c>
      <c r="G2244" s="617" t="s">
        <v>379</v>
      </c>
      <c r="H2244" s="618" t="s">
        <v>626</v>
      </c>
    </row>
    <row r="2245" spans="1:8" ht="15.75">
      <c r="A2245" s="619"/>
      <c r="B2245" s="620"/>
      <c r="C2245" s="621"/>
      <c r="D2245" s="621"/>
      <c r="E2245" s="621"/>
      <c r="F2245" s="621"/>
      <c r="G2245" s="621"/>
      <c r="H2245" s="148"/>
    </row>
    <row r="2246" spans="1:8" ht="12.75" customHeight="1">
      <c r="A2246" s="707" t="s">
        <v>665</v>
      </c>
      <c r="B2246" s="707"/>
      <c r="C2246" s="707"/>
      <c r="D2246" s="707"/>
      <c r="E2246" s="707"/>
      <c r="F2246" s="707"/>
      <c r="G2246" s="707"/>
      <c r="H2246" s="707"/>
    </row>
    <row r="2250" ht="15.75">
      <c r="H2250" s="11" t="s">
        <v>609</v>
      </c>
    </row>
    <row r="2251" ht="15.75">
      <c r="H2251" s="11" t="s">
        <v>610</v>
      </c>
    </row>
    <row r="2252" ht="15.75">
      <c r="H2252" s="11" t="s">
        <v>611</v>
      </c>
    </row>
    <row r="2253" ht="15.75">
      <c r="H2253" s="11"/>
    </row>
    <row r="2254" spans="1:8" ht="12.75" customHeight="1">
      <c r="A2254" s="713" t="s">
        <v>612</v>
      </c>
      <c r="B2254" s="713"/>
      <c r="C2254" s="713"/>
      <c r="D2254" s="713"/>
      <c r="E2254" s="713"/>
      <c r="F2254" s="713"/>
      <c r="G2254" s="713"/>
      <c r="H2254" s="713"/>
    </row>
    <row r="2255" spans="1:8" ht="12.75" customHeight="1">
      <c r="A2255" s="713" t="s">
        <v>613</v>
      </c>
      <c r="B2255" s="713"/>
      <c r="C2255" s="713"/>
      <c r="D2255" s="713"/>
      <c r="E2255" s="713"/>
      <c r="F2255" s="713"/>
      <c r="G2255" s="713"/>
      <c r="H2255" s="713"/>
    </row>
    <row r="2256" ht="15.75">
      <c r="H2256" s="11" t="s">
        <v>43</v>
      </c>
    </row>
    <row r="2257" ht="15.75">
      <c r="H2257" s="11" t="s">
        <v>44</v>
      </c>
    </row>
    <row r="2258" ht="15.75">
      <c r="H2258" s="11" t="s">
        <v>45</v>
      </c>
    </row>
    <row r="2259" ht="15.75">
      <c r="H2259" s="594" t="s">
        <v>614</v>
      </c>
    </row>
    <row r="2260" ht="15.75">
      <c r="H2260" s="11" t="s">
        <v>615</v>
      </c>
    </row>
    <row r="2261" ht="15.75">
      <c r="H2261" s="11" t="s">
        <v>47</v>
      </c>
    </row>
    <row r="2262" ht="15.75">
      <c r="A2262" s="595"/>
    </row>
    <row r="2263" ht="15.75">
      <c r="A2263" s="3" t="s">
        <v>780</v>
      </c>
    </row>
    <row r="2264" spans="1:8" ht="12.75" customHeight="1">
      <c r="A2264" s="717" t="s">
        <v>0</v>
      </c>
      <c r="B2264" s="714"/>
      <c r="C2264" s="714"/>
      <c r="D2264" s="714"/>
      <c r="E2264" s="714"/>
      <c r="F2264" s="714"/>
      <c r="G2264" s="714"/>
      <c r="H2264" s="714"/>
    </row>
    <row r="2265" spans="1:8" ht="16.5" thickBot="1">
      <c r="A2265" s="597"/>
      <c r="B2265" s="597"/>
      <c r="C2265" s="598"/>
      <c r="D2265" s="598"/>
      <c r="E2265" s="598"/>
      <c r="F2265" s="598"/>
      <c r="G2265" s="598"/>
      <c r="H2265" s="598"/>
    </row>
    <row r="2266" spans="1:8" ht="12.75" customHeight="1">
      <c r="A2266" s="708" t="s">
        <v>617</v>
      </c>
      <c r="B2266" s="710" t="s">
        <v>618</v>
      </c>
      <c r="C2266" s="711" t="s">
        <v>619</v>
      </c>
      <c r="D2266" s="711"/>
      <c r="E2266" s="711"/>
      <c r="F2266" s="711"/>
      <c r="G2266" s="712" t="s">
        <v>620</v>
      </c>
      <c r="H2266" s="708" t="s">
        <v>621</v>
      </c>
    </row>
    <row r="2267" spans="1:8" ht="15.75">
      <c r="A2267" s="708"/>
      <c r="B2267" s="710"/>
      <c r="C2267" s="711"/>
      <c r="D2267" s="711"/>
      <c r="E2267" s="711"/>
      <c r="F2267" s="711"/>
      <c r="G2267" s="712"/>
      <c r="H2267" s="708"/>
    </row>
    <row r="2268" spans="1:8" ht="31.5">
      <c r="A2268" s="708"/>
      <c r="B2268" s="710"/>
      <c r="C2268" s="601" t="s">
        <v>622</v>
      </c>
      <c r="D2268" s="601" t="s">
        <v>623</v>
      </c>
      <c r="E2268" s="602" t="s">
        <v>622</v>
      </c>
      <c r="F2268" s="603" t="s">
        <v>623</v>
      </c>
      <c r="G2268" s="712"/>
      <c r="H2268" s="708"/>
    </row>
    <row r="2269" spans="1:8" ht="15.75">
      <c r="A2269" s="599">
        <v>1</v>
      </c>
      <c r="B2269" s="599">
        <v>2</v>
      </c>
      <c r="C2269" s="604">
        <v>3</v>
      </c>
      <c r="D2269" s="604">
        <v>4</v>
      </c>
      <c r="E2269" s="605"/>
      <c r="F2269" s="606"/>
      <c r="G2269" s="600">
        <v>5</v>
      </c>
      <c r="H2269" s="599">
        <v>6</v>
      </c>
    </row>
    <row r="2270" spans="1:8" ht="12.75" customHeight="1">
      <c r="A2270" s="607">
        <v>1</v>
      </c>
      <c r="B2270" s="709" t="s">
        <v>624</v>
      </c>
      <c r="C2270" s="709"/>
      <c r="D2270" s="709"/>
      <c r="E2270" s="709"/>
      <c r="F2270" s="709"/>
      <c r="G2270" s="709"/>
      <c r="H2270" s="709"/>
    </row>
    <row r="2271" spans="1:8" ht="15.75">
      <c r="A2271" s="608" t="s">
        <v>74</v>
      </c>
      <c r="B2271" s="609" t="s">
        <v>625</v>
      </c>
      <c r="C2271" s="610" t="s">
        <v>379</v>
      </c>
      <c r="D2271" s="610" t="s">
        <v>379</v>
      </c>
      <c r="E2271" s="610" t="s">
        <v>379</v>
      </c>
      <c r="F2271" s="610" t="s">
        <v>379</v>
      </c>
      <c r="G2271" s="610" t="s">
        <v>379</v>
      </c>
      <c r="H2271" s="611" t="s">
        <v>626</v>
      </c>
    </row>
    <row r="2272" spans="1:8" ht="15.75">
      <c r="A2272" s="608" t="s">
        <v>313</v>
      </c>
      <c r="B2272" s="609" t="s">
        <v>627</v>
      </c>
      <c r="C2272" s="610" t="s">
        <v>379</v>
      </c>
      <c r="D2272" s="610" t="s">
        <v>379</v>
      </c>
      <c r="E2272" s="610" t="s">
        <v>379</v>
      </c>
      <c r="F2272" s="610" t="s">
        <v>379</v>
      </c>
      <c r="G2272" s="610" t="s">
        <v>379</v>
      </c>
      <c r="H2272" s="611" t="s">
        <v>626</v>
      </c>
    </row>
    <row r="2273" spans="1:8" ht="31.5">
      <c r="A2273" s="608" t="s">
        <v>315</v>
      </c>
      <c r="B2273" s="612" t="s">
        <v>628</v>
      </c>
      <c r="C2273" s="610" t="s">
        <v>379</v>
      </c>
      <c r="D2273" s="610" t="s">
        <v>379</v>
      </c>
      <c r="E2273" s="610" t="s">
        <v>379</v>
      </c>
      <c r="F2273" s="610" t="s">
        <v>379</v>
      </c>
      <c r="G2273" s="610" t="s">
        <v>379</v>
      </c>
      <c r="H2273" s="611" t="s">
        <v>626</v>
      </c>
    </row>
    <row r="2274" spans="1:8" ht="47.25">
      <c r="A2274" s="608" t="s">
        <v>317</v>
      </c>
      <c r="B2274" s="612" t="s">
        <v>629</v>
      </c>
      <c r="C2274" s="610" t="s">
        <v>379</v>
      </c>
      <c r="D2274" s="610" t="s">
        <v>379</v>
      </c>
      <c r="E2274" s="610" t="s">
        <v>379</v>
      </c>
      <c r="F2274" s="610" t="s">
        <v>379</v>
      </c>
      <c r="G2274" s="610" t="s">
        <v>379</v>
      </c>
      <c r="H2274" s="611" t="s">
        <v>626</v>
      </c>
    </row>
    <row r="2275" spans="1:8" ht="15.75">
      <c r="A2275" s="608" t="s">
        <v>630</v>
      </c>
      <c r="B2275" s="613" t="s">
        <v>631</v>
      </c>
      <c r="C2275" s="610" t="s">
        <v>379</v>
      </c>
      <c r="D2275" s="610" t="s">
        <v>379</v>
      </c>
      <c r="E2275" s="610" t="s">
        <v>379</v>
      </c>
      <c r="F2275" s="610" t="s">
        <v>379</v>
      </c>
      <c r="G2275" s="610" t="s">
        <v>379</v>
      </c>
      <c r="H2275" s="611" t="s">
        <v>626</v>
      </c>
    </row>
    <row r="2276" spans="1:8" ht="15.75">
      <c r="A2276" s="608" t="s">
        <v>632</v>
      </c>
      <c r="B2276" s="613" t="s">
        <v>633</v>
      </c>
      <c r="C2276" s="610" t="s">
        <v>379</v>
      </c>
      <c r="D2276" s="610" t="s">
        <v>379</v>
      </c>
      <c r="E2276" s="610" t="s">
        <v>379</v>
      </c>
      <c r="F2276" s="610" t="s">
        <v>379</v>
      </c>
      <c r="G2276" s="610" t="s">
        <v>379</v>
      </c>
      <c r="H2276" s="611" t="s">
        <v>626</v>
      </c>
    </row>
    <row r="2277" spans="1:8" ht="12.75" customHeight="1">
      <c r="A2277" s="608">
        <v>2</v>
      </c>
      <c r="B2277" s="706" t="s">
        <v>634</v>
      </c>
      <c r="C2277" s="706"/>
      <c r="D2277" s="706"/>
      <c r="E2277" s="706"/>
      <c r="F2277" s="706"/>
      <c r="G2277" s="706"/>
      <c r="H2277" s="706"/>
    </row>
    <row r="2278" spans="1:8" ht="31.5">
      <c r="A2278" s="608" t="s">
        <v>321</v>
      </c>
      <c r="B2278" s="612" t="s">
        <v>635</v>
      </c>
      <c r="C2278" s="610" t="s">
        <v>676</v>
      </c>
      <c r="D2278" s="610" t="s">
        <v>677</v>
      </c>
      <c r="E2278" s="610" t="s">
        <v>379</v>
      </c>
      <c r="F2278" s="610" t="s">
        <v>379</v>
      </c>
      <c r="G2278" s="614">
        <v>0</v>
      </c>
      <c r="H2278" s="611"/>
    </row>
    <row r="2279" spans="1:8" ht="47.25">
      <c r="A2279" s="608" t="s">
        <v>325</v>
      </c>
      <c r="B2279" s="612" t="s">
        <v>638</v>
      </c>
      <c r="C2279" s="610" t="s">
        <v>379</v>
      </c>
      <c r="D2279" s="610" t="s">
        <v>379</v>
      </c>
      <c r="E2279" s="610" t="s">
        <v>379</v>
      </c>
      <c r="F2279" s="610" t="s">
        <v>379</v>
      </c>
      <c r="G2279" s="610" t="s">
        <v>379</v>
      </c>
      <c r="H2279" s="611" t="s">
        <v>626</v>
      </c>
    </row>
    <row r="2280" spans="1:8" ht="31.5">
      <c r="A2280" s="608" t="s">
        <v>639</v>
      </c>
      <c r="B2280" s="612" t="s">
        <v>640</v>
      </c>
      <c r="C2280" s="610" t="s">
        <v>379</v>
      </c>
      <c r="D2280" s="610" t="s">
        <v>379</v>
      </c>
      <c r="E2280" s="610" t="s">
        <v>379</v>
      </c>
      <c r="F2280" s="610" t="s">
        <v>379</v>
      </c>
      <c r="G2280" s="610" t="s">
        <v>379</v>
      </c>
      <c r="H2280" s="611" t="s">
        <v>626</v>
      </c>
    </row>
    <row r="2281" spans="1:8" ht="12.75" customHeight="1">
      <c r="A2281" s="608">
        <v>3</v>
      </c>
      <c r="B2281" s="706" t="s">
        <v>641</v>
      </c>
      <c r="C2281" s="706"/>
      <c r="D2281" s="706"/>
      <c r="E2281" s="706"/>
      <c r="F2281" s="706"/>
      <c r="G2281" s="706"/>
      <c r="H2281" s="706"/>
    </row>
    <row r="2282" spans="1:8" ht="31.5">
      <c r="A2282" s="608" t="s">
        <v>378</v>
      </c>
      <c r="B2282" s="613" t="s">
        <v>642</v>
      </c>
      <c r="C2282" s="610" t="s">
        <v>379</v>
      </c>
      <c r="D2282" s="610" t="s">
        <v>379</v>
      </c>
      <c r="E2282" s="610" t="s">
        <v>379</v>
      </c>
      <c r="F2282" s="610" t="s">
        <v>379</v>
      </c>
      <c r="G2282" s="610" t="s">
        <v>379</v>
      </c>
      <c r="H2282" s="611" t="s">
        <v>626</v>
      </c>
    </row>
    <row r="2283" spans="1:8" ht="15.75">
      <c r="A2283" s="608" t="s">
        <v>643</v>
      </c>
      <c r="B2283" s="613" t="s">
        <v>644</v>
      </c>
      <c r="C2283" s="610" t="s">
        <v>676</v>
      </c>
      <c r="D2283" s="610" t="s">
        <v>678</v>
      </c>
      <c r="E2283" s="610" t="s">
        <v>379</v>
      </c>
      <c r="F2283" s="610" t="s">
        <v>379</v>
      </c>
      <c r="G2283" s="614">
        <v>0</v>
      </c>
      <c r="H2283" s="611"/>
    </row>
    <row r="2284" spans="1:8" ht="15.75">
      <c r="A2284" s="608" t="s">
        <v>380</v>
      </c>
      <c r="B2284" s="613" t="s">
        <v>646</v>
      </c>
      <c r="C2284" s="610" t="s">
        <v>679</v>
      </c>
      <c r="D2284" s="610" t="s">
        <v>680</v>
      </c>
      <c r="E2284" s="610" t="s">
        <v>379</v>
      </c>
      <c r="F2284" s="610" t="s">
        <v>379</v>
      </c>
      <c r="G2284" s="614">
        <v>0</v>
      </c>
      <c r="H2284" s="611"/>
    </row>
    <row r="2285" spans="1:8" ht="15.75">
      <c r="A2285" s="608" t="s">
        <v>649</v>
      </c>
      <c r="B2285" s="613" t="s">
        <v>650</v>
      </c>
      <c r="C2285" s="610" t="s">
        <v>681</v>
      </c>
      <c r="D2285" s="610" t="s">
        <v>682</v>
      </c>
      <c r="E2285" s="610" t="s">
        <v>379</v>
      </c>
      <c r="F2285" s="610" t="s">
        <v>379</v>
      </c>
      <c r="G2285" s="614">
        <v>0</v>
      </c>
      <c r="H2285" s="611"/>
    </row>
    <row r="2286" spans="1:8" ht="15.75">
      <c r="A2286" s="608" t="s">
        <v>653</v>
      </c>
      <c r="B2286" s="613" t="s">
        <v>654</v>
      </c>
      <c r="C2286" s="610" t="s">
        <v>682</v>
      </c>
      <c r="D2286" s="610" t="s">
        <v>677</v>
      </c>
      <c r="E2286" s="610" t="s">
        <v>379</v>
      </c>
      <c r="F2286" s="610" t="s">
        <v>379</v>
      </c>
      <c r="G2286" s="614">
        <v>0</v>
      </c>
      <c r="H2286" s="611"/>
    </row>
    <row r="2287" spans="1:8" ht="12.75" customHeight="1">
      <c r="A2287" s="608">
        <v>4</v>
      </c>
      <c r="B2287" s="706" t="s">
        <v>656</v>
      </c>
      <c r="C2287" s="706"/>
      <c r="D2287" s="706"/>
      <c r="E2287" s="706"/>
      <c r="F2287" s="706"/>
      <c r="G2287" s="706"/>
      <c r="H2287" s="706"/>
    </row>
    <row r="2288" spans="1:8" ht="31.5">
      <c r="A2288" s="608" t="s">
        <v>657</v>
      </c>
      <c r="B2288" s="612" t="s">
        <v>658</v>
      </c>
      <c r="C2288" s="610" t="s">
        <v>379</v>
      </c>
      <c r="D2288" s="610" t="s">
        <v>379</v>
      </c>
      <c r="E2288" s="610" t="s">
        <v>379</v>
      </c>
      <c r="F2288" s="610" t="s">
        <v>379</v>
      </c>
      <c r="G2288" s="610" t="s">
        <v>379</v>
      </c>
      <c r="H2288" s="611" t="s">
        <v>626</v>
      </c>
    </row>
    <row r="2289" spans="1:8" ht="47.25">
      <c r="A2289" s="608" t="s">
        <v>659</v>
      </c>
      <c r="B2289" s="612" t="s">
        <v>660</v>
      </c>
      <c r="C2289" s="610" t="s">
        <v>379</v>
      </c>
      <c r="D2289" s="610" t="s">
        <v>379</v>
      </c>
      <c r="E2289" s="610" t="s">
        <v>379</v>
      </c>
      <c r="F2289" s="610" t="s">
        <v>379</v>
      </c>
      <c r="G2289" s="610" t="s">
        <v>379</v>
      </c>
      <c r="H2289" s="611" t="s">
        <v>626</v>
      </c>
    </row>
    <row r="2290" spans="1:8" ht="31.5">
      <c r="A2290" s="608" t="s">
        <v>661</v>
      </c>
      <c r="B2290" s="613" t="s">
        <v>662</v>
      </c>
      <c r="C2290" s="610" t="s">
        <v>379</v>
      </c>
      <c r="D2290" s="610" t="s">
        <v>379</v>
      </c>
      <c r="E2290" s="610" t="s">
        <v>379</v>
      </c>
      <c r="F2290" s="610" t="s">
        <v>379</v>
      </c>
      <c r="G2290" s="610" t="s">
        <v>379</v>
      </c>
      <c r="H2290" s="611" t="s">
        <v>626</v>
      </c>
    </row>
    <row r="2291" spans="1:8" ht="31.5">
      <c r="A2291" s="615" t="s">
        <v>663</v>
      </c>
      <c r="B2291" s="616" t="s">
        <v>664</v>
      </c>
      <c r="C2291" s="617" t="s">
        <v>379</v>
      </c>
      <c r="D2291" s="617" t="s">
        <v>379</v>
      </c>
      <c r="E2291" s="617" t="s">
        <v>379</v>
      </c>
      <c r="F2291" s="617" t="s">
        <v>379</v>
      </c>
      <c r="G2291" s="617" t="s">
        <v>379</v>
      </c>
      <c r="H2291" s="618" t="s">
        <v>626</v>
      </c>
    </row>
    <row r="2292" spans="1:8" ht="15.75">
      <c r="A2292" s="619"/>
      <c r="B2292" s="620"/>
      <c r="C2292" s="621"/>
      <c r="D2292" s="621"/>
      <c r="E2292" s="621"/>
      <c r="F2292" s="621"/>
      <c r="G2292" s="621"/>
      <c r="H2292" s="148"/>
    </row>
    <row r="2293" spans="1:8" ht="12.75" customHeight="1">
      <c r="A2293" s="707" t="s">
        <v>665</v>
      </c>
      <c r="B2293" s="707"/>
      <c r="C2293" s="707"/>
      <c r="D2293" s="707"/>
      <c r="E2293" s="707"/>
      <c r="F2293" s="707"/>
      <c r="G2293" s="707"/>
      <c r="H2293" s="707"/>
    </row>
    <row r="2298" ht="15.75">
      <c r="H2298" s="11" t="s">
        <v>609</v>
      </c>
    </row>
    <row r="2299" ht="15.75">
      <c r="H2299" s="11" t="s">
        <v>610</v>
      </c>
    </row>
    <row r="2300" ht="15.75">
      <c r="H2300" s="11" t="s">
        <v>611</v>
      </c>
    </row>
    <row r="2301" ht="15.75">
      <c r="H2301" s="11"/>
    </row>
    <row r="2302" spans="1:8" ht="12.75" customHeight="1">
      <c r="A2302" s="713" t="s">
        <v>612</v>
      </c>
      <c r="B2302" s="713"/>
      <c r="C2302" s="713"/>
      <c r="D2302" s="713"/>
      <c r="E2302" s="713"/>
      <c r="F2302" s="713"/>
      <c r="G2302" s="713"/>
      <c r="H2302" s="713"/>
    </row>
    <row r="2303" spans="1:8" ht="12.75" customHeight="1">
      <c r="A2303" s="713" t="s">
        <v>613</v>
      </c>
      <c r="B2303" s="713"/>
      <c r="C2303" s="713"/>
      <c r="D2303" s="713"/>
      <c r="E2303" s="713"/>
      <c r="F2303" s="713"/>
      <c r="G2303" s="713"/>
      <c r="H2303" s="713"/>
    </row>
    <row r="2304" ht="15.75">
      <c r="H2304" s="11" t="s">
        <v>43</v>
      </c>
    </row>
    <row r="2305" ht="15.75">
      <c r="H2305" s="11" t="s">
        <v>44</v>
      </c>
    </row>
    <row r="2306" ht="15.75">
      <c r="H2306" s="11" t="s">
        <v>45</v>
      </c>
    </row>
    <row r="2307" ht="15.75">
      <c r="H2307" s="594" t="s">
        <v>614</v>
      </c>
    </row>
    <row r="2308" ht="15.75">
      <c r="H2308" s="11" t="s">
        <v>615</v>
      </c>
    </row>
    <row r="2309" ht="15.75">
      <c r="H2309" s="11" t="s">
        <v>47</v>
      </c>
    </row>
    <row r="2310" ht="15.75">
      <c r="A2310" s="595"/>
    </row>
    <row r="2311" ht="15.75">
      <c r="A2311" s="3" t="s">
        <v>781</v>
      </c>
    </row>
    <row r="2312" spans="1:8" ht="12.75" customHeight="1">
      <c r="A2312" s="717" t="s">
        <v>0</v>
      </c>
      <c r="B2312" s="714"/>
      <c r="C2312" s="714"/>
      <c r="D2312" s="714"/>
      <c r="E2312" s="714"/>
      <c r="F2312" s="714"/>
      <c r="G2312" s="714"/>
      <c r="H2312" s="714"/>
    </row>
    <row r="2313" spans="1:8" ht="16.5" thickBot="1">
      <c r="A2313" s="597"/>
      <c r="B2313" s="597"/>
      <c r="C2313" s="598"/>
      <c r="D2313" s="598"/>
      <c r="E2313" s="598"/>
      <c r="F2313" s="598"/>
      <c r="G2313" s="598"/>
      <c r="H2313" s="598"/>
    </row>
    <row r="2314" spans="1:8" ht="12.75" customHeight="1">
      <c r="A2314" s="708" t="s">
        <v>617</v>
      </c>
      <c r="B2314" s="710" t="s">
        <v>618</v>
      </c>
      <c r="C2314" s="711" t="s">
        <v>619</v>
      </c>
      <c r="D2314" s="711"/>
      <c r="E2314" s="711"/>
      <c r="F2314" s="711"/>
      <c r="G2314" s="712" t="s">
        <v>620</v>
      </c>
      <c r="H2314" s="708" t="s">
        <v>621</v>
      </c>
    </row>
    <row r="2315" spans="1:8" ht="15.75">
      <c r="A2315" s="708"/>
      <c r="B2315" s="710"/>
      <c r="C2315" s="711"/>
      <c r="D2315" s="711"/>
      <c r="E2315" s="711"/>
      <c r="F2315" s="711"/>
      <c r="G2315" s="712"/>
      <c r="H2315" s="708"/>
    </row>
    <row r="2316" spans="1:8" ht="31.5">
      <c r="A2316" s="708"/>
      <c r="B2316" s="710"/>
      <c r="C2316" s="601" t="s">
        <v>622</v>
      </c>
      <c r="D2316" s="601" t="s">
        <v>623</v>
      </c>
      <c r="E2316" s="602" t="s">
        <v>622</v>
      </c>
      <c r="F2316" s="603" t="s">
        <v>623</v>
      </c>
      <c r="G2316" s="712"/>
      <c r="H2316" s="708"/>
    </row>
    <row r="2317" spans="1:8" ht="15.75">
      <c r="A2317" s="599">
        <v>1</v>
      </c>
      <c r="B2317" s="599">
        <v>2</v>
      </c>
      <c r="C2317" s="604">
        <v>3</v>
      </c>
      <c r="D2317" s="604">
        <v>4</v>
      </c>
      <c r="E2317" s="605"/>
      <c r="F2317" s="606"/>
      <c r="G2317" s="600">
        <v>5</v>
      </c>
      <c r="H2317" s="599">
        <v>6</v>
      </c>
    </row>
    <row r="2318" spans="1:8" ht="12.75" customHeight="1">
      <c r="A2318" s="607">
        <v>1</v>
      </c>
      <c r="B2318" s="709" t="s">
        <v>624</v>
      </c>
      <c r="C2318" s="709"/>
      <c r="D2318" s="709"/>
      <c r="E2318" s="709"/>
      <c r="F2318" s="709"/>
      <c r="G2318" s="709"/>
      <c r="H2318" s="709"/>
    </row>
    <row r="2319" spans="1:8" ht="15.75">
      <c r="A2319" s="608" t="s">
        <v>74</v>
      </c>
      <c r="B2319" s="609" t="s">
        <v>625</v>
      </c>
      <c r="C2319" s="610" t="s">
        <v>379</v>
      </c>
      <c r="D2319" s="610" t="s">
        <v>379</v>
      </c>
      <c r="E2319" s="610" t="s">
        <v>379</v>
      </c>
      <c r="F2319" s="610" t="s">
        <v>379</v>
      </c>
      <c r="G2319" s="610" t="s">
        <v>379</v>
      </c>
      <c r="H2319" s="611" t="s">
        <v>626</v>
      </c>
    </row>
    <row r="2320" spans="1:8" ht="15.75">
      <c r="A2320" s="608" t="s">
        <v>313</v>
      </c>
      <c r="B2320" s="609" t="s">
        <v>627</v>
      </c>
      <c r="C2320" s="610" t="s">
        <v>379</v>
      </c>
      <c r="D2320" s="610" t="s">
        <v>379</v>
      </c>
      <c r="E2320" s="610" t="s">
        <v>379</v>
      </c>
      <c r="F2320" s="610" t="s">
        <v>379</v>
      </c>
      <c r="G2320" s="610" t="s">
        <v>379</v>
      </c>
      <c r="H2320" s="611" t="s">
        <v>626</v>
      </c>
    </row>
    <row r="2321" spans="1:8" ht="31.5">
      <c r="A2321" s="608" t="s">
        <v>315</v>
      </c>
      <c r="B2321" s="612" t="s">
        <v>628</v>
      </c>
      <c r="C2321" s="610" t="s">
        <v>379</v>
      </c>
      <c r="D2321" s="610" t="s">
        <v>379</v>
      </c>
      <c r="E2321" s="610" t="s">
        <v>379</v>
      </c>
      <c r="F2321" s="610" t="s">
        <v>379</v>
      </c>
      <c r="G2321" s="610" t="s">
        <v>379</v>
      </c>
      <c r="H2321" s="611" t="s">
        <v>626</v>
      </c>
    </row>
    <row r="2322" spans="1:8" ht="47.25">
      <c r="A2322" s="608" t="s">
        <v>317</v>
      </c>
      <c r="B2322" s="612" t="s">
        <v>629</v>
      </c>
      <c r="C2322" s="610" t="s">
        <v>379</v>
      </c>
      <c r="D2322" s="610" t="s">
        <v>379</v>
      </c>
      <c r="E2322" s="610" t="s">
        <v>379</v>
      </c>
      <c r="F2322" s="610" t="s">
        <v>379</v>
      </c>
      <c r="G2322" s="610" t="s">
        <v>379</v>
      </c>
      <c r="H2322" s="611" t="s">
        <v>626</v>
      </c>
    </row>
    <row r="2323" spans="1:8" ht="15.75">
      <c r="A2323" s="608" t="s">
        <v>630</v>
      </c>
      <c r="B2323" s="613" t="s">
        <v>631</v>
      </c>
      <c r="C2323" s="610" t="s">
        <v>379</v>
      </c>
      <c r="D2323" s="610" t="s">
        <v>379</v>
      </c>
      <c r="E2323" s="610" t="s">
        <v>379</v>
      </c>
      <c r="F2323" s="610" t="s">
        <v>379</v>
      </c>
      <c r="G2323" s="610" t="s">
        <v>379</v>
      </c>
      <c r="H2323" s="611" t="s">
        <v>626</v>
      </c>
    </row>
    <row r="2324" spans="1:8" ht="15.75">
      <c r="A2324" s="608" t="s">
        <v>632</v>
      </c>
      <c r="B2324" s="613" t="s">
        <v>633</v>
      </c>
      <c r="C2324" s="610" t="s">
        <v>379</v>
      </c>
      <c r="D2324" s="610" t="s">
        <v>379</v>
      </c>
      <c r="E2324" s="610" t="s">
        <v>379</v>
      </c>
      <c r="F2324" s="610" t="s">
        <v>379</v>
      </c>
      <c r="G2324" s="610" t="s">
        <v>379</v>
      </c>
      <c r="H2324" s="611" t="s">
        <v>626</v>
      </c>
    </row>
    <row r="2325" spans="1:8" ht="12.75" customHeight="1">
      <c r="A2325" s="608">
        <v>2</v>
      </c>
      <c r="B2325" s="706" t="s">
        <v>634</v>
      </c>
      <c r="C2325" s="706"/>
      <c r="D2325" s="706"/>
      <c r="E2325" s="706"/>
      <c r="F2325" s="706"/>
      <c r="G2325" s="706"/>
      <c r="H2325" s="706"/>
    </row>
    <row r="2326" spans="1:8" ht="31.5">
      <c r="A2326" s="608" t="s">
        <v>321</v>
      </c>
      <c r="B2326" s="612" t="s">
        <v>635</v>
      </c>
      <c r="C2326" s="610" t="s">
        <v>676</v>
      </c>
      <c r="D2326" s="610" t="s">
        <v>677</v>
      </c>
      <c r="E2326" s="610" t="s">
        <v>379</v>
      </c>
      <c r="F2326" s="610" t="s">
        <v>379</v>
      </c>
      <c r="G2326" s="614">
        <v>0</v>
      </c>
      <c r="H2326" s="611"/>
    </row>
    <row r="2327" spans="1:8" ht="47.25">
      <c r="A2327" s="608" t="s">
        <v>325</v>
      </c>
      <c r="B2327" s="612" t="s">
        <v>638</v>
      </c>
      <c r="C2327" s="610" t="s">
        <v>379</v>
      </c>
      <c r="D2327" s="610" t="s">
        <v>379</v>
      </c>
      <c r="E2327" s="610" t="s">
        <v>379</v>
      </c>
      <c r="F2327" s="610" t="s">
        <v>379</v>
      </c>
      <c r="G2327" s="610" t="s">
        <v>379</v>
      </c>
      <c r="H2327" s="611" t="s">
        <v>626</v>
      </c>
    </row>
    <row r="2328" spans="1:8" ht="31.5">
      <c r="A2328" s="608" t="s">
        <v>639</v>
      </c>
      <c r="B2328" s="612" t="s">
        <v>640</v>
      </c>
      <c r="C2328" s="610" t="s">
        <v>379</v>
      </c>
      <c r="D2328" s="610" t="s">
        <v>379</v>
      </c>
      <c r="E2328" s="610" t="s">
        <v>379</v>
      </c>
      <c r="F2328" s="610" t="s">
        <v>379</v>
      </c>
      <c r="G2328" s="610" t="s">
        <v>379</v>
      </c>
      <c r="H2328" s="611" t="s">
        <v>626</v>
      </c>
    </row>
    <row r="2329" spans="1:8" ht="12.75" customHeight="1">
      <c r="A2329" s="608">
        <v>3</v>
      </c>
      <c r="B2329" s="706" t="s">
        <v>641</v>
      </c>
      <c r="C2329" s="706"/>
      <c r="D2329" s="706"/>
      <c r="E2329" s="706"/>
      <c r="F2329" s="706"/>
      <c r="G2329" s="706"/>
      <c r="H2329" s="706"/>
    </row>
    <row r="2330" spans="1:8" ht="31.5">
      <c r="A2330" s="608" t="s">
        <v>378</v>
      </c>
      <c r="B2330" s="613" t="s">
        <v>642</v>
      </c>
      <c r="C2330" s="610" t="s">
        <v>379</v>
      </c>
      <c r="D2330" s="610" t="s">
        <v>379</v>
      </c>
      <c r="E2330" s="610" t="s">
        <v>379</v>
      </c>
      <c r="F2330" s="610" t="s">
        <v>379</v>
      </c>
      <c r="G2330" s="610" t="s">
        <v>379</v>
      </c>
      <c r="H2330" s="611" t="s">
        <v>626</v>
      </c>
    </row>
    <row r="2331" spans="1:8" ht="15.75">
      <c r="A2331" s="608" t="s">
        <v>643</v>
      </c>
      <c r="B2331" s="613" t="s">
        <v>644</v>
      </c>
      <c r="C2331" s="610" t="s">
        <v>676</v>
      </c>
      <c r="D2331" s="610" t="s">
        <v>678</v>
      </c>
      <c r="E2331" s="610" t="s">
        <v>379</v>
      </c>
      <c r="F2331" s="610" t="s">
        <v>379</v>
      </c>
      <c r="G2331" s="614">
        <v>0</v>
      </c>
      <c r="H2331" s="611"/>
    </row>
    <row r="2332" spans="1:8" ht="15.75">
      <c r="A2332" s="608" t="s">
        <v>380</v>
      </c>
      <c r="B2332" s="613" t="s">
        <v>646</v>
      </c>
      <c r="C2332" s="610" t="s">
        <v>679</v>
      </c>
      <c r="D2332" s="610" t="s">
        <v>680</v>
      </c>
      <c r="E2332" s="610" t="s">
        <v>379</v>
      </c>
      <c r="F2332" s="610" t="s">
        <v>379</v>
      </c>
      <c r="G2332" s="614">
        <v>0</v>
      </c>
      <c r="H2332" s="611"/>
    </row>
    <row r="2333" spans="1:8" ht="15.75">
      <c r="A2333" s="608" t="s">
        <v>649</v>
      </c>
      <c r="B2333" s="613" t="s">
        <v>650</v>
      </c>
      <c r="C2333" s="610" t="s">
        <v>681</v>
      </c>
      <c r="D2333" s="610" t="s">
        <v>682</v>
      </c>
      <c r="E2333" s="610" t="s">
        <v>379</v>
      </c>
      <c r="F2333" s="610" t="s">
        <v>379</v>
      </c>
      <c r="G2333" s="614">
        <v>0</v>
      </c>
      <c r="H2333" s="611"/>
    </row>
    <row r="2334" spans="1:8" ht="15.75">
      <c r="A2334" s="608" t="s">
        <v>653</v>
      </c>
      <c r="B2334" s="613" t="s">
        <v>654</v>
      </c>
      <c r="C2334" s="610" t="s">
        <v>682</v>
      </c>
      <c r="D2334" s="610" t="s">
        <v>677</v>
      </c>
      <c r="E2334" s="610" t="s">
        <v>379</v>
      </c>
      <c r="F2334" s="610" t="s">
        <v>379</v>
      </c>
      <c r="G2334" s="614">
        <v>0</v>
      </c>
      <c r="H2334" s="611"/>
    </row>
    <row r="2335" spans="1:8" ht="12.75" customHeight="1">
      <c r="A2335" s="608">
        <v>4</v>
      </c>
      <c r="B2335" s="706" t="s">
        <v>656</v>
      </c>
      <c r="C2335" s="706"/>
      <c r="D2335" s="706"/>
      <c r="E2335" s="706"/>
      <c r="F2335" s="706"/>
      <c r="G2335" s="706"/>
      <c r="H2335" s="706"/>
    </row>
    <row r="2336" spans="1:8" ht="31.5">
      <c r="A2336" s="608" t="s">
        <v>657</v>
      </c>
      <c r="B2336" s="612" t="s">
        <v>658</v>
      </c>
      <c r="C2336" s="610" t="s">
        <v>379</v>
      </c>
      <c r="D2336" s="610" t="s">
        <v>379</v>
      </c>
      <c r="E2336" s="610" t="s">
        <v>379</v>
      </c>
      <c r="F2336" s="610" t="s">
        <v>379</v>
      </c>
      <c r="G2336" s="610" t="s">
        <v>379</v>
      </c>
      <c r="H2336" s="611" t="s">
        <v>626</v>
      </c>
    </row>
    <row r="2337" spans="1:8" ht="47.25">
      <c r="A2337" s="608" t="s">
        <v>659</v>
      </c>
      <c r="B2337" s="612" t="s">
        <v>660</v>
      </c>
      <c r="C2337" s="610" t="s">
        <v>379</v>
      </c>
      <c r="D2337" s="610" t="s">
        <v>379</v>
      </c>
      <c r="E2337" s="610" t="s">
        <v>379</v>
      </c>
      <c r="F2337" s="610" t="s">
        <v>379</v>
      </c>
      <c r="G2337" s="610" t="s">
        <v>379</v>
      </c>
      <c r="H2337" s="611" t="s">
        <v>626</v>
      </c>
    </row>
    <row r="2338" spans="1:8" ht="31.5">
      <c r="A2338" s="608" t="s">
        <v>661</v>
      </c>
      <c r="B2338" s="613" t="s">
        <v>662</v>
      </c>
      <c r="C2338" s="610" t="s">
        <v>379</v>
      </c>
      <c r="D2338" s="610" t="s">
        <v>379</v>
      </c>
      <c r="E2338" s="610" t="s">
        <v>379</v>
      </c>
      <c r="F2338" s="610" t="s">
        <v>379</v>
      </c>
      <c r="G2338" s="610" t="s">
        <v>379</v>
      </c>
      <c r="H2338" s="611" t="s">
        <v>626</v>
      </c>
    </row>
    <row r="2339" spans="1:8" ht="31.5">
      <c r="A2339" s="615" t="s">
        <v>663</v>
      </c>
      <c r="B2339" s="616" t="s">
        <v>664</v>
      </c>
      <c r="C2339" s="617" t="s">
        <v>379</v>
      </c>
      <c r="D2339" s="617" t="s">
        <v>379</v>
      </c>
      <c r="E2339" s="617" t="s">
        <v>379</v>
      </c>
      <c r="F2339" s="617" t="s">
        <v>379</v>
      </c>
      <c r="G2339" s="617" t="s">
        <v>379</v>
      </c>
      <c r="H2339" s="618" t="s">
        <v>626</v>
      </c>
    </row>
    <row r="2340" spans="1:8" ht="15.75">
      <c r="A2340" s="619"/>
      <c r="B2340" s="620"/>
      <c r="C2340" s="621"/>
      <c r="D2340" s="621"/>
      <c r="E2340" s="621"/>
      <c r="F2340" s="621"/>
      <c r="G2340" s="621"/>
      <c r="H2340" s="148"/>
    </row>
    <row r="2341" spans="1:8" ht="12.75" customHeight="1">
      <c r="A2341" s="707" t="s">
        <v>665</v>
      </c>
      <c r="B2341" s="707"/>
      <c r="C2341" s="707"/>
      <c r="D2341" s="707"/>
      <c r="E2341" s="707"/>
      <c r="F2341" s="707"/>
      <c r="G2341" s="707"/>
      <c r="H2341" s="707"/>
    </row>
    <row r="2347" ht="15.75">
      <c r="H2347" s="11" t="s">
        <v>609</v>
      </c>
    </row>
    <row r="2348" ht="15.75">
      <c r="H2348" s="11" t="s">
        <v>610</v>
      </c>
    </row>
    <row r="2349" ht="15.75">
      <c r="H2349" s="11" t="s">
        <v>611</v>
      </c>
    </row>
    <row r="2350" ht="15.75">
      <c r="H2350" s="11"/>
    </row>
    <row r="2351" spans="1:8" ht="12.75" customHeight="1">
      <c r="A2351" s="713" t="s">
        <v>612</v>
      </c>
      <c r="B2351" s="713"/>
      <c r="C2351" s="713"/>
      <c r="D2351" s="713"/>
      <c r="E2351" s="713"/>
      <c r="F2351" s="713"/>
      <c r="G2351" s="713"/>
      <c r="H2351" s="713"/>
    </row>
    <row r="2352" spans="1:8" ht="12.75" customHeight="1">
      <c r="A2352" s="713" t="s">
        <v>613</v>
      </c>
      <c r="B2352" s="713"/>
      <c r="C2352" s="713"/>
      <c r="D2352" s="713"/>
      <c r="E2352" s="713"/>
      <c r="F2352" s="713"/>
      <c r="G2352" s="713"/>
      <c r="H2352" s="713"/>
    </row>
    <row r="2353" ht="15.75">
      <c r="H2353" s="11" t="s">
        <v>43</v>
      </c>
    </row>
    <row r="2354" ht="15.75">
      <c r="H2354" s="11" t="s">
        <v>44</v>
      </c>
    </row>
    <row r="2355" ht="15.75">
      <c r="H2355" s="11" t="s">
        <v>45</v>
      </c>
    </row>
    <row r="2356" ht="15.75">
      <c r="H2356" s="594" t="s">
        <v>614</v>
      </c>
    </row>
    <row r="2357" ht="15.75">
      <c r="H2357" s="11" t="s">
        <v>615</v>
      </c>
    </row>
    <row r="2358" ht="15.75">
      <c r="H2358" s="11" t="s">
        <v>47</v>
      </c>
    </row>
    <row r="2359" ht="15.75">
      <c r="A2359" s="595"/>
    </row>
    <row r="2360" ht="15.75">
      <c r="A2360" s="3" t="s">
        <v>782</v>
      </c>
    </row>
    <row r="2361" spans="1:8" ht="12.75" customHeight="1">
      <c r="A2361" s="717" t="s">
        <v>0</v>
      </c>
      <c r="B2361" s="714"/>
      <c r="C2361" s="714"/>
      <c r="D2361" s="714"/>
      <c r="E2361" s="714"/>
      <c r="F2361" s="714"/>
      <c r="G2361" s="714"/>
      <c r="H2361" s="714"/>
    </row>
    <row r="2362" spans="1:8" ht="16.5" thickBot="1">
      <c r="A2362" s="597"/>
      <c r="B2362" s="597"/>
      <c r="C2362" s="598"/>
      <c r="D2362" s="598"/>
      <c r="E2362" s="598"/>
      <c r="F2362" s="598"/>
      <c r="G2362" s="598"/>
      <c r="H2362" s="598"/>
    </row>
    <row r="2363" spans="1:8" ht="12.75" customHeight="1">
      <c r="A2363" s="708" t="s">
        <v>617</v>
      </c>
      <c r="B2363" s="710" t="s">
        <v>618</v>
      </c>
      <c r="C2363" s="711" t="s">
        <v>619</v>
      </c>
      <c r="D2363" s="711"/>
      <c r="E2363" s="711"/>
      <c r="F2363" s="711"/>
      <c r="G2363" s="712" t="s">
        <v>620</v>
      </c>
      <c r="H2363" s="708" t="s">
        <v>621</v>
      </c>
    </row>
    <row r="2364" spans="1:8" ht="15.75">
      <c r="A2364" s="708"/>
      <c r="B2364" s="710"/>
      <c r="C2364" s="711"/>
      <c r="D2364" s="711"/>
      <c r="E2364" s="711"/>
      <c r="F2364" s="711"/>
      <c r="G2364" s="712"/>
      <c r="H2364" s="708"/>
    </row>
    <row r="2365" spans="1:8" ht="31.5">
      <c r="A2365" s="708"/>
      <c r="B2365" s="710"/>
      <c r="C2365" s="601" t="s">
        <v>622</v>
      </c>
      <c r="D2365" s="601" t="s">
        <v>623</v>
      </c>
      <c r="E2365" s="602" t="s">
        <v>622</v>
      </c>
      <c r="F2365" s="603" t="s">
        <v>623</v>
      </c>
      <c r="G2365" s="712"/>
      <c r="H2365" s="708"/>
    </row>
    <row r="2366" spans="1:8" ht="15.75">
      <c r="A2366" s="599">
        <v>1</v>
      </c>
      <c r="B2366" s="599">
        <v>2</v>
      </c>
      <c r="C2366" s="604">
        <v>3</v>
      </c>
      <c r="D2366" s="604">
        <v>4</v>
      </c>
      <c r="E2366" s="605"/>
      <c r="F2366" s="606"/>
      <c r="G2366" s="600">
        <v>5</v>
      </c>
      <c r="H2366" s="599">
        <v>6</v>
      </c>
    </row>
    <row r="2367" spans="1:8" ht="12.75" customHeight="1">
      <c r="A2367" s="607">
        <v>1</v>
      </c>
      <c r="B2367" s="709" t="s">
        <v>624</v>
      </c>
      <c r="C2367" s="709"/>
      <c r="D2367" s="709"/>
      <c r="E2367" s="709"/>
      <c r="F2367" s="709"/>
      <c r="G2367" s="709"/>
      <c r="H2367" s="709"/>
    </row>
    <row r="2368" spans="1:8" ht="15.75">
      <c r="A2368" s="608" t="s">
        <v>74</v>
      </c>
      <c r="B2368" s="609" t="s">
        <v>625</v>
      </c>
      <c r="C2368" s="610" t="s">
        <v>379</v>
      </c>
      <c r="D2368" s="610" t="s">
        <v>379</v>
      </c>
      <c r="E2368" s="610" t="s">
        <v>379</v>
      </c>
      <c r="F2368" s="610" t="s">
        <v>379</v>
      </c>
      <c r="G2368" s="610" t="s">
        <v>379</v>
      </c>
      <c r="H2368" s="611" t="s">
        <v>626</v>
      </c>
    </row>
    <row r="2369" spans="1:8" ht="15.75">
      <c r="A2369" s="608" t="s">
        <v>313</v>
      </c>
      <c r="B2369" s="609" t="s">
        <v>627</v>
      </c>
      <c r="C2369" s="610" t="s">
        <v>379</v>
      </c>
      <c r="D2369" s="610" t="s">
        <v>379</v>
      </c>
      <c r="E2369" s="610" t="s">
        <v>379</v>
      </c>
      <c r="F2369" s="610" t="s">
        <v>379</v>
      </c>
      <c r="G2369" s="610" t="s">
        <v>379</v>
      </c>
      <c r="H2369" s="611" t="s">
        <v>626</v>
      </c>
    </row>
    <row r="2370" spans="1:8" ht="31.5">
      <c r="A2370" s="608" t="s">
        <v>315</v>
      </c>
      <c r="B2370" s="612" t="s">
        <v>628</v>
      </c>
      <c r="C2370" s="610" t="s">
        <v>379</v>
      </c>
      <c r="D2370" s="610" t="s">
        <v>379</v>
      </c>
      <c r="E2370" s="610" t="s">
        <v>379</v>
      </c>
      <c r="F2370" s="610" t="s">
        <v>379</v>
      </c>
      <c r="G2370" s="610" t="s">
        <v>379</v>
      </c>
      <c r="H2370" s="611" t="s">
        <v>626</v>
      </c>
    </row>
    <row r="2371" spans="1:8" ht="47.25">
      <c r="A2371" s="608" t="s">
        <v>317</v>
      </c>
      <c r="B2371" s="612" t="s">
        <v>629</v>
      </c>
      <c r="C2371" s="610" t="s">
        <v>379</v>
      </c>
      <c r="D2371" s="610" t="s">
        <v>379</v>
      </c>
      <c r="E2371" s="610" t="s">
        <v>379</v>
      </c>
      <c r="F2371" s="610" t="s">
        <v>379</v>
      </c>
      <c r="G2371" s="610" t="s">
        <v>379</v>
      </c>
      <c r="H2371" s="611" t="s">
        <v>626</v>
      </c>
    </row>
    <row r="2372" spans="1:8" ht="15.75">
      <c r="A2372" s="608" t="s">
        <v>630</v>
      </c>
      <c r="B2372" s="613" t="s">
        <v>631</v>
      </c>
      <c r="C2372" s="610" t="s">
        <v>379</v>
      </c>
      <c r="D2372" s="610" t="s">
        <v>379</v>
      </c>
      <c r="E2372" s="610" t="s">
        <v>379</v>
      </c>
      <c r="F2372" s="610" t="s">
        <v>379</v>
      </c>
      <c r="G2372" s="610" t="s">
        <v>379</v>
      </c>
      <c r="H2372" s="611" t="s">
        <v>626</v>
      </c>
    </row>
    <row r="2373" spans="1:8" ht="15.75">
      <c r="A2373" s="608" t="s">
        <v>632</v>
      </c>
      <c r="B2373" s="613" t="s">
        <v>633</v>
      </c>
      <c r="C2373" s="610" t="s">
        <v>379</v>
      </c>
      <c r="D2373" s="610" t="s">
        <v>379</v>
      </c>
      <c r="E2373" s="610" t="s">
        <v>379</v>
      </c>
      <c r="F2373" s="610" t="s">
        <v>379</v>
      </c>
      <c r="G2373" s="610" t="s">
        <v>379</v>
      </c>
      <c r="H2373" s="611" t="s">
        <v>626</v>
      </c>
    </row>
    <row r="2374" spans="1:8" ht="12.75" customHeight="1">
      <c r="A2374" s="608">
        <v>2</v>
      </c>
      <c r="B2374" s="706" t="s">
        <v>634</v>
      </c>
      <c r="C2374" s="706"/>
      <c r="D2374" s="706"/>
      <c r="E2374" s="706"/>
      <c r="F2374" s="706"/>
      <c r="G2374" s="706"/>
      <c r="H2374" s="706"/>
    </row>
    <row r="2375" spans="1:8" ht="31.5">
      <c r="A2375" s="608" t="s">
        <v>321</v>
      </c>
      <c r="B2375" s="612" t="s">
        <v>635</v>
      </c>
      <c r="C2375" s="610" t="s">
        <v>676</v>
      </c>
      <c r="D2375" s="610" t="s">
        <v>677</v>
      </c>
      <c r="E2375" s="610" t="s">
        <v>379</v>
      </c>
      <c r="F2375" s="610" t="s">
        <v>379</v>
      </c>
      <c r="G2375" s="614">
        <v>0</v>
      </c>
      <c r="H2375" s="611"/>
    </row>
    <row r="2376" spans="1:8" ht="47.25">
      <c r="A2376" s="608" t="s">
        <v>325</v>
      </c>
      <c r="B2376" s="612" t="s">
        <v>638</v>
      </c>
      <c r="C2376" s="610" t="s">
        <v>379</v>
      </c>
      <c r="D2376" s="610" t="s">
        <v>379</v>
      </c>
      <c r="E2376" s="610" t="s">
        <v>379</v>
      </c>
      <c r="F2376" s="610" t="s">
        <v>379</v>
      </c>
      <c r="G2376" s="610" t="s">
        <v>379</v>
      </c>
      <c r="H2376" s="611" t="s">
        <v>626</v>
      </c>
    </row>
    <row r="2377" spans="1:8" ht="31.5">
      <c r="A2377" s="608" t="s">
        <v>639</v>
      </c>
      <c r="B2377" s="612" t="s">
        <v>640</v>
      </c>
      <c r="C2377" s="610" t="s">
        <v>379</v>
      </c>
      <c r="D2377" s="610" t="s">
        <v>379</v>
      </c>
      <c r="E2377" s="610" t="s">
        <v>379</v>
      </c>
      <c r="F2377" s="610" t="s">
        <v>379</v>
      </c>
      <c r="G2377" s="610" t="s">
        <v>379</v>
      </c>
      <c r="H2377" s="611" t="s">
        <v>626</v>
      </c>
    </row>
    <row r="2378" spans="1:8" ht="12.75" customHeight="1">
      <c r="A2378" s="608">
        <v>3</v>
      </c>
      <c r="B2378" s="706" t="s">
        <v>641</v>
      </c>
      <c r="C2378" s="706"/>
      <c r="D2378" s="706"/>
      <c r="E2378" s="706"/>
      <c r="F2378" s="706"/>
      <c r="G2378" s="706"/>
      <c r="H2378" s="706"/>
    </row>
    <row r="2379" spans="1:8" ht="31.5">
      <c r="A2379" s="608" t="s">
        <v>378</v>
      </c>
      <c r="B2379" s="613" t="s">
        <v>642</v>
      </c>
      <c r="C2379" s="610" t="s">
        <v>379</v>
      </c>
      <c r="D2379" s="610" t="s">
        <v>379</v>
      </c>
      <c r="E2379" s="610" t="s">
        <v>379</v>
      </c>
      <c r="F2379" s="610" t="s">
        <v>379</v>
      </c>
      <c r="G2379" s="610" t="s">
        <v>379</v>
      </c>
      <c r="H2379" s="611" t="s">
        <v>626</v>
      </c>
    </row>
    <row r="2380" spans="1:8" ht="15.75">
      <c r="A2380" s="608" t="s">
        <v>643</v>
      </c>
      <c r="B2380" s="613" t="s">
        <v>644</v>
      </c>
      <c r="C2380" s="610" t="s">
        <v>676</v>
      </c>
      <c r="D2380" s="610" t="s">
        <v>678</v>
      </c>
      <c r="E2380" s="610" t="s">
        <v>379</v>
      </c>
      <c r="F2380" s="610" t="s">
        <v>379</v>
      </c>
      <c r="G2380" s="614">
        <v>0</v>
      </c>
      <c r="H2380" s="611"/>
    </row>
    <row r="2381" spans="1:8" ht="15.75">
      <c r="A2381" s="608" t="s">
        <v>380</v>
      </c>
      <c r="B2381" s="613" t="s">
        <v>646</v>
      </c>
      <c r="C2381" s="610" t="s">
        <v>679</v>
      </c>
      <c r="D2381" s="610" t="s">
        <v>680</v>
      </c>
      <c r="E2381" s="610" t="s">
        <v>379</v>
      </c>
      <c r="F2381" s="610" t="s">
        <v>379</v>
      </c>
      <c r="G2381" s="614">
        <v>0</v>
      </c>
      <c r="H2381" s="611"/>
    </row>
    <row r="2382" spans="1:8" ht="15.75">
      <c r="A2382" s="608" t="s">
        <v>649</v>
      </c>
      <c r="B2382" s="613" t="s">
        <v>650</v>
      </c>
      <c r="C2382" s="610" t="s">
        <v>681</v>
      </c>
      <c r="D2382" s="610" t="s">
        <v>682</v>
      </c>
      <c r="E2382" s="610" t="s">
        <v>379</v>
      </c>
      <c r="F2382" s="610" t="s">
        <v>379</v>
      </c>
      <c r="G2382" s="614">
        <v>0</v>
      </c>
      <c r="H2382" s="611"/>
    </row>
    <row r="2383" spans="1:8" ht="15.75">
      <c r="A2383" s="608" t="s">
        <v>653</v>
      </c>
      <c r="B2383" s="613" t="s">
        <v>654</v>
      </c>
      <c r="C2383" s="610" t="s">
        <v>682</v>
      </c>
      <c r="D2383" s="610" t="s">
        <v>677</v>
      </c>
      <c r="E2383" s="610" t="s">
        <v>379</v>
      </c>
      <c r="F2383" s="610" t="s">
        <v>379</v>
      </c>
      <c r="G2383" s="614">
        <v>0</v>
      </c>
      <c r="H2383" s="611"/>
    </row>
    <row r="2384" spans="1:8" ht="12.75" customHeight="1">
      <c r="A2384" s="608">
        <v>4</v>
      </c>
      <c r="B2384" s="706" t="s">
        <v>656</v>
      </c>
      <c r="C2384" s="706"/>
      <c r="D2384" s="706"/>
      <c r="E2384" s="706"/>
      <c r="F2384" s="706"/>
      <c r="G2384" s="706"/>
      <c r="H2384" s="706"/>
    </row>
    <row r="2385" spans="1:8" ht="31.5">
      <c r="A2385" s="608" t="s">
        <v>657</v>
      </c>
      <c r="B2385" s="612" t="s">
        <v>658</v>
      </c>
      <c r="C2385" s="610" t="s">
        <v>379</v>
      </c>
      <c r="D2385" s="610" t="s">
        <v>379</v>
      </c>
      <c r="E2385" s="610" t="s">
        <v>379</v>
      </c>
      <c r="F2385" s="610" t="s">
        <v>379</v>
      </c>
      <c r="G2385" s="610" t="s">
        <v>379</v>
      </c>
      <c r="H2385" s="611" t="s">
        <v>626</v>
      </c>
    </row>
    <row r="2386" spans="1:8" ht="47.25">
      <c r="A2386" s="608" t="s">
        <v>659</v>
      </c>
      <c r="B2386" s="612" t="s">
        <v>660</v>
      </c>
      <c r="C2386" s="610" t="s">
        <v>379</v>
      </c>
      <c r="D2386" s="610" t="s">
        <v>379</v>
      </c>
      <c r="E2386" s="610" t="s">
        <v>379</v>
      </c>
      <c r="F2386" s="610" t="s">
        <v>379</v>
      </c>
      <c r="G2386" s="610" t="s">
        <v>379</v>
      </c>
      <c r="H2386" s="611" t="s">
        <v>626</v>
      </c>
    </row>
    <row r="2387" spans="1:8" ht="31.5">
      <c r="A2387" s="608" t="s">
        <v>661</v>
      </c>
      <c r="B2387" s="613" t="s">
        <v>662</v>
      </c>
      <c r="C2387" s="610" t="s">
        <v>379</v>
      </c>
      <c r="D2387" s="610" t="s">
        <v>379</v>
      </c>
      <c r="E2387" s="610" t="s">
        <v>379</v>
      </c>
      <c r="F2387" s="610" t="s">
        <v>379</v>
      </c>
      <c r="G2387" s="610" t="s">
        <v>379</v>
      </c>
      <c r="H2387" s="611" t="s">
        <v>626</v>
      </c>
    </row>
    <row r="2388" spans="1:8" ht="31.5">
      <c r="A2388" s="615" t="s">
        <v>663</v>
      </c>
      <c r="B2388" s="616" t="s">
        <v>664</v>
      </c>
      <c r="C2388" s="617" t="s">
        <v>379</v>
      </c>
      <c r="D2388" s="617" t="s">
        <v>379</v>
      </c>
      <c r="E2388" s="617" t="s">
        <v>379</v>
      </c>
      <c r="F2388" s="617" t="s">
        <v>379</v>
      </c>
      <c r="G2388" s="617" t="s">
        <v>379</v>
      </c>
      <c r="H2388" s="618" t="s">
        <v>626</v>
      </c>
    </row>
    <row r="2389" spans="1:8" ht="15.75">
      <c r="A2389" s="619"/>
      <c r="B2389" s="620"/>
      <c r="C2389" s="621"/>
      <c r="D2389" s="621"/>
      <c r="E2389" s="621"/>
      <c r="F2389" s="621"/>
      <c r="G2389" s="621"/>
      <c r="H2389" s="148"/>
    </row>
    <row r="2390" spans="1:8" ht="12.75" customHeight="1">
      <c r="A2390" s="707" t="s">
        <v>665</v>
      </c>
      <c r="B2390" s="707"/>
      <c r="C2390" s="707"/>
      <c r="D2390" s="707"/>
      <c r="E2390" s="707"/>
      <c r="F2390" s="707"/>
      <c r="G2390" s="707"/>
      <c r="H2390" s="707"/>
    </row>
    <row r="2395" ht="15.75">
      <c r="H2395" s="11" t="s">
        <v>609</v>
      </c>
    </row>
    <row r="2396" ht="15.75">
      <c r="H2396" s="11" t="s">
        <v>610</v>
      </c>
    </row>
    <row r="2397" ht="15.75">
      <c r="H2397" s="11" t="s">
        <v>611</v>
      </c>
    </row>
    <row r="2398" ht="15.75">
      <c r="H2398" s="11"/>
    </row>
    <row r="2399" spans="1:8" ht="12.75" customHeight="1">
      <c r="A2399" s="713" t="s">
        <v>612</v>
      </c>
      <c r="B2399" s="713"/>
      <c r="C2399" s="713"/>
      <c r="D2399" s="713"/>
      <c r="E2399" s="713"/>
      <c r="F2399" s="713"/>
      <c r="G2399" s="713"/>
      <c r="H2399" s="713"/>
    </row>
    <row r="2400" spans="1:8" ht="12.75" customHeight="1">
      <c r="A2400" s="713" t="s">
        <v>613</v>
      </c>
      <c r="B2400" s="713"/>
      <c r="C2400" s="713"/>
      <c r="D2400" s="713"/>
      <c r="E2400" s="713"/>
      <c r="F2400" s="713"/>
      <c r="G2400" s="713"/>
      <c r="H2400" s="713"/>
    </row>
    <row r="2401" ht="15.75">
      <c r="H2401" s="11" t="s">
        <v>43</v>
      </c>
    </row>
    <row r="2402" ht="15.75">
      <c r="H2402" s="11" t="s">
        <v>44</v>
      </c>
    </row>
    <row r="2403" ht="15.75">
      <c r="H2403" s="11" t="s">
        <v>45</v>
      </c>
    </row>
    <row r="2404" ht="15.75">
      <c r="H2404" s="594" t="s">
        <v>614</v>
      </c>
    </row>
    <row r="2405" ht="15.75">
      <c r="H2405" s="11" t="s">
        <v>615</v>
      </c>
    </row>
    <row r="2406" ht="15.75">
      <c r="H2406" s="11" t="s">
        <v>47</v>
      </c>
    </row>
    <row r="2407" ht="15.75">
      <c r="A2407" s="595"/>
    </row>
    <row r="2408" ht="15.75">
      <c r="A2408" s="567" t="s">
        <v>783</v>
      </c>
    </row>
    <row r="2409" spans="1:8" ht="12.75" customHeight="1">
      <c r="A2409" s="717" t="s">
        <v>0</v>
      </c>
      <c r="B2409" s="714"/>
      <c r="C2409" s="714"/>
      <c r="D2409" s="714"/>
      <c r="E2409" s="714"/>
      <c r="F2409" s="714"/>
      <c r="G2409" s="714"/>
      <c r="H2409" s="714"/>
    </row>
    <row r="2410" spans="1:8" ht="16.5" thickBot="1">
      <c r="A2410" s="597"/>
      <c r="B2410" s="597"/>
      <c r="C2410" s="598"/>
      <c r="D2410" s="598"/>
      <c r="E2410" s="598"/>
      <c r="F2410" s="598"/>
      <c r="G2410" s="598"/>
      <c r="H2410" s="598"/>
    </row>
    <row r="2411" spans="1:8" ht="12.75" customHeight="1">
      <c r="A2411" s="708" t="s">
        <v>617</v>
      </c>
      <c r="B2411" s="710" t="s">
        <v>618</v>
      </c>
      <c r="C2411" s="711" t="s">
        <v>619</v>
      </c>
      <c r="D2411" s="711"/>
      <c r="E2411" s="711"/>
      <c r="F2411" s="711"/>
      <c r="G2411" s="712" t="s">
        <v>620</v>
      </c>
      <c r="H2411" s="708" t="s">
        <v>621</v>
      </c>
    </row>
    <row r="2412" spans="1:8" ht="15.75">
      <c r="A2412" s="708"/>
      <c r="B2412" s="710"/>
      <c r="C2412" s="711"/>
      <c r="D2412" s="711"/>
      <c r="E2412" s="711"/>
      <c r="F2412" s="711"/>
      <c r="G2412" s="712"/>
      <c r="H2412" s="708"/>
    </row>
    <row r="2413" spans="1:8" ht="31.5">
      <c r="A2413" s="708"/>
      <c r="B2413" s="710"/>
      <c r="C2413" s="601" t="s">
        <v>622</v>
      </c>
      <c r="D2413" s="601" t="s">
        <v>623</v>
      </c>
      <c r="E2413" s="602" t="s">
        <v>622</v>
      </c>
      <c r="F2413" s="603" t="s">
        <v>623</v>
      </c>
      <c r="G2413" s="712"/>
      <c r="H2413" s="708"/>
    </row>
    <row r="2414" spans="1:8" ht="15.75">
      <c r="A2414" s="599">
        <v>1</v>
      </c>
      <c r="B2414" s="599">
        <v>2</v>
      </c>
      <c r="C2414" s="604">
        <v>3</v>
      </c>
      <c r="D2414" s="604">
        <v>4</v>
      </c>
      <c r="E2414" s="605"/>
      <c r="F2414" s="606"/>
      <c r="G2414" s="600">
        <v>5</v>
      </c>
      <c r="H2414" s="599">
        <v>6</v>
      </c>
    </row>
    <row r="2415" spans="1:8" ht="12.75" customHeight="1">
      <c r="A2415" s="607">
        <v>1</v>
      </c>
      <c r="B2415" s="709" t="s">
        <v>624</v>
      </c>
      <c r="C2415" s="709"/>
      <c r="D2415" s="709"/>
      <c r="E2415" s="709"/>
      <c r="F2415" s="709"/>
      <c r="G2415" s="709"/>
      <c r="H2415" s="709"/>
    </row>
    <row r="2416" spans="1:8" ht="15.75">
      <c r="A2416" s="608" t="s">
        <v>74</v>
      </c>
      <c r="B2416" s="609" t="s">
        <v>625</v>
      </c>
      <c r="C2416" s="610" t="s">
        <v>379</v>
      </c>
      <c r="D2416" s="610" t="s">
        <v>379</v>
      </c>
      <c r="E2416" s="610" t="s">
        <v>379</v>
      </c>
      <c r="F2416" s="610" t="s">
        <v>379</v>
      </c>
      <c r="G2416" s="610" t="s">
        <v>379</v>
      </c>
      <c r="H2416" s="611" t="s">
        <v>626</v>
      </c>
    </row>
    <row r="2417" spans="1:8" ht="15.75">
      <c r="A2417" s="608" t="s">
        <v>313</v>
      </c>
      <c r="B2417" s="609" t="s">
        <v>627</v>
      </c>
      <c r="C2417" s="610" t="s">
        <v>379</v>
      </c>
      <c r="D2417" s="610" t="s">
        <v>379</v>
      </c>
      <c r="E2417" s="610" t="s">
        <v>379</v>
      </c>
      <c r="F2417" s="610" t="s">
        <v>379</v>
      </c>
      <c r="G2417" s="610" t="s">
        <v>379</v>
      </c>
      <c r="H2417" s="611" t="s">
        <v>626</v>
      </c>
    </row>
    <row r="2418" spans="1:8" ht="31.5">
      <c r="A2418" s="608" t="s">
        <v>315</v>
      </c>
      <c r="B2418" s="612" t="s">
        <v>628</v>
      </c>
      <c r="C2418" s="610" t="s">
        <v>379</v>
      </c>
      <c r="D2418" s="610" t="s">
        <v>379</v>
      </c>
      <c r="E2418" s="610" t="s">
        <v>379</v>
      </c>
      <c r="F2418" s="610" t="s">
        <v>379</v>
      </c>
      <c r="G2418" s="610" t="s">
        <v>379</v>
      </c>
      <c r="H2418" s="611" t="s">
        <v>626</v>
      </c>
    </row>
    <row r="2419" spans="1:8" ht="47.25">
      <c r="A2419" s="608" t="s">
        <v>317</v>
      </c>
      <c r="B2419" s="612" t="s">
        <v>629</v>
      </c>
      <c r="C2419" s="610" t="s">
        <v>379</v>
      </c>
      <c r="D2419" s="610" t="s">
        <v>379</v>
      </c>
      <c r="E2419" s="610" t="s">
        <v>379</v>
      </c>
      <c r="F2419" s="610" t="s">
        <v>379</v>
      </c>
      <c r="G2419" s="610" t="s">
        <v>379</v>
      </c>
      <c r="H2419" s="611" t="s">
        <v>626</v>
      </c>
    </row>
    <row r="2420" spans="1:8" ht="15.75">
      <c r="A2420" s="608" t="s">
        <v>630</v>
      </c>
      <c r="B2420" s="613" t="s">
        <v>631</v>
      </c>
      <c r="C2420" s="610" t="s">
        <v>379</v>
      </c>
      <c r="D2420" s="610" t="s">
        <v>379</v>
      </c>
      <c r="E2420" s="610" t="s">
        <v>379</v>
      </c>
      <c r="F2420" s="610" t="s">
        <v>379</v>
      </c>
      <c r="G2420" s="610" t="s">
        <v>379</v>
      </c>
      <c r="H2420" s="611" t="s">
        <v>626</v>
      </c>
    </row>
    <row r="2421" spans="1:8" ht="15.75">
      <c r="A2421" s="608" t="s">
        <v>632</v>
      </c>
      <c r="B2421" s="613" t="s">
        <v>633</v>
      </c>
      <c r="C2421" s="610" t="s">
        <v>379</v>
      </c>
      <c r="D2421" s="610" t="s">
        <v>379</v>
      </c>
      <c r="E2421" s="610" t="s">
        <v>379</v>
      </c>
      <c r="F2421" s="610" t="s">
        <v>379</v>
      </c>
      <c r="G2421" s="610" t="s">
        <v>379</v>
      </c>
      <c r="H2421" s="611" t="s">
        <v>626</v>
      </c>
    </row>
    <row r="2422" spans="1:8" ht="12.75" customHeight="1">
      <c r="A2422" s="608">
        <v>2</v>
      </c>
      <c r="B2422" s="706" t="s">
        <v>634</v>
      </c>
      <c r="C2422" s="706"/>
      <c r="D2422" s="706"/>
      <c r="E2422" s="706"/>
      <c r="F2422" s="706"/>
      <c r="G2422" s="706"/>
      <c r="H2422" s="706"/>
    </row>
    <row r="2423" spans="1:8" ht="31.5">
      <c r="A2423" s="608" t="s">
        <v>321</v>
      </c>
      <c r="B2423" s="612" t="s">
        <v>635</v>
      </c>
      <c r="C2423" s="610" t="s">
        <v>636</v>
      </c>
      <c r="D2423" s="610" t="s">
        <v>670</v>
      </c>
      <c r="E2423" s="610" t="s">
        <v>379</v>
      </c>
      <c r="F2423" s="610" t="s">
        <v>379</v>
      </c>
      <c r="G2423" s="614">
        <v>0</v>
      </c>
      <c r="H2423" s="611"/>
    </row>
    <row r="2424" spans="1:8" ht="47.25">
      <c r="A2424" s="608" t="s">
        <v>325</v>
      </c>
      <c r="B2424" s="612" t="s">
        <v>638</v>
      </c>
      <c r="C2424" s="610" t="s">
        <v>379</v>
      </c>
      <c r="D2424" s="610" t="s">
        <v>379</v>
      </c>
      <c r="E2424" s="610" t="s">
        <v>379</v>
      </c>
      <c r="F2424" s="610" t="s">
        <v>379</v>
      </c>
      <c r="G2424" s="610" t="s">
        <v>379</v>
      </c>
      <c r="H2424" s="611" t="s">
        <v>626</v>
      </c>
    </row>
    <row r="2425" spans="1:8" ht="31.5">
      <c r="A2425" s="608" t="s">
        <v>639</v>
      </c>
      <c r="B2425" s="612" t="s">
        <v>640</v>
      </c>
      <c r="C2425" s="610" t="s">
        <v>379</v>
      </c>
      <c r="D2425" s="610" t="s">
        <v>379</v>
      </c>
      <c r="E2425" s="610" t="s">
        <v>379</v>
      </c>
      <c r="F2425" s="610" t="s">
        <v>379</v>
      </c>
      <c r="G2425" s="610" t="s">
        <v>379</v>
      </c>
      <c r="H2425" s="611" t="s">
        <v>626</v>
      </c>
    </row>
    <row r="2426" spans="1:8" ht="12.75" customHeight="1">
      <c r="A2426" s="608">
        <v>3</v>
      </c>
      <c r="B2426" s="706" t="s">
        <v>641</v>
      </c>
      <c r="C2426" s="706"/>
      <c r="D2426" s="706"/>
      <c r="E2426" s="706"/>
      <c r="F2426" s="706"/>
      <c r="G2426" s="706"/>
      <c r="H2426" s="706"/>
    </row>
    <row r="2427" spans="1:8" ht="31.5">
      <c r="A2427" s="608" t="s">
        <v>378</v>
      </c>
      <c r="B2427" s="613" t="s">
        <v>642</v>
      </c>
      <c r="C2427" s="610" t="s">
        <v>379</v>
      </c>
      <c r="D2427" s="610" t="s">
        <v>379</v>
      </c>
      <c r="E2427" s="610" t="s">
        <v>379</v>
      </c>
      <c r="F2427" s="610" t="s">
        <v>379</v>
      </c>
      <c r="G2427" s="610" t="s">
        <v>379</v>
      </c>
      <c r="H2427" s="611" t="s">
        <v>626</v>
      </c>
    </row>
    <row r="2428" spans="1:8" ht="15.75">
      <c r="A2428" s="608" t="s">
        <v>643</v>
      </c>
      <c r="B2428" s="613" t="s">
        <v>644</v>
      </c>
      <c r="C2428" s="610" t="s">
        <v>636</v>
      </c>
      <c r="D2428" s="610" t="s">
        <v>671</v>
      </c>
      <c r="E2428" s="610" t="s">
        <v>379</v>
      </c>
      <c r="F2428" s="610" t="s">
        <v>379</v>
      </c>
      <c r="G2428" s="614">
        <v>0</v>
      </c>
      <c r="H2428" s="611"/>
    </row>
    <row r="2429" spans="1:8" ht="15.75">
      <c r="A2429" s="608" t="s">
        <v>380</v>
      </c>
      <c r="B2429" s="613" t="s">
        <v>646</v>
      </c>
      <c r="C2429" s="610" t="s">
        <v>647</v>
      </c>
      <c r="D2429" s="610" t="s">
        <v>651</v>
      </c>
      <c r="E2429" s="610" t="s">
        <v>379</v>
      </c>
      <c r="F2429" s="610" t="s">
        <v>379</v>
      </c>
      <c r="G2429" s="614">
        <v>0</v>
      </c>
      <c r="H2429" s="611"/>
    </row>
    <row r="2430" spans="1:8" ht="15.75">
      <c r="A2430" s="608" t="s">
        <v>649</v>
      </c>
      <c r="B2430" s="613" t="s">
        <v>650</v>
      </c>
      <c r="C2430" s="610" t="s">
        <v>651</v>
      </c>
      <c r="D2430" s="610" t="s">
        <v>672</v>
      </c>
      <c r="E2430" s="610" t="s">
        <v>379</v>
      </c>
      <c r="F2430" s="610" t="s">
        <v>379</v>
      </c>
      <c r="G2430" s="614">
        <v>0</v>
      </c>
      <c r="H2430" s="611"/>
    </row>
    <row r="2431" spans="1:8" ht="15.75">
      <c r="A2431" s="608" t="s">
        <v>653</v>
      </c>
      <c r="B2431" s="613" t="s">
        <v>654</v>
      </c>
      <c r="C2431" s="610" t="s">
        <v>672</v>
      </c>
      <c r="D2431" s="610" t="s">
        <v>670</v>
      </c>
      <c r="E2431" s="610" t="s">
        <v>379</v>
      </c>
      <c r="F2431" s="610" t="s">
        <v>379</v>
      </c>
      <c r="G2431" s="614">
        <v>0</v>
      </c>
      <c r="H2431" s="611"/>
    </row>
    <row r="2432" spans="1:8" ht="12.75" customHeight="1">
      <c r="A2432" s="608">
        <v>4</v>
      </c>
      <c r="B2432" s="706" t="s">
        <v>656</v>
      </c>
      <c r="C2432" s="706"/>
      <c r="D2432" s="706"/>
      <c r="E2432" s="706"/>
      <c r="F2432" s="706"/>
      <c r="G2432" s="706"/>
      <c r="H2432" s="706"/>
    </row>
    <row r="2433" spans="1:8" ht="31.5">
      <c r="A2433" s="608" t="s">
        <v>657</v>
      </c>
      <c r="B2433" s="612" t="s">
        <v>658</v>
      </c>
      <c r="C2433" s="610" t="s">
        <v>379</v>
      </c>
      <c r="D2433" s="610" t="s">
        <v>379</v>
      </c>
      <c r="E2433" s="610" t="s">
        <v>379</v>
      </c>
      <c r="F2433" s="610" t="s">
        <v>379</v>
      </c>
      <c r="G2433" s="610" t="s">
        <v>379</v>
      </c>
      <c r="H2433" s="611" t="s">
        <v>626</v>
      </c>
    </row>
    <row r="2434" spans="1:8" ht="47.25">
      <c r="A2434" s="608" t="s">
        <v>659</v>
      </c>
      <c r="B2434" s="612" t="s">
        <v>660</v>
      </c>
      <c r="C2434" s="610" t="s">
        <v>379</v>
      </c>
      <c r="D2434" s="610" t="s">
        <v>379</v>
      </c>
      <c r="E2434" s="610" t="s">
        <v>379</v>
      </c>
      <c r="F2434" s="610" t="s">
        <v>379</v>
      </c>
      <c r="G2434" s="610" t="s">
        <v>379</v>
      </c>
      <c r="H2434" s="611" t="s">
        <v>626</v>
      </c>
    </row>
    <row r="2435" spans="1:8" ht="31.5">
      <c r="A2435" s="608" t="s">
        <v>661</v>
      </c>
      <c r="B2435" s="613" t="s">
        <v>662</v>
      </c>
      <c r="C2435" s="610" t="s">
        <v>379</v>
      </c>
      <c r="D2435" s="610" t="s">
        <v>379</v>
      </c>
      <c r="E2435" s="610" t="s">
        <v>379</v>
      </c>
      <c r="F2435" s="610" t="s">
        <v>379</v>
      </c>
      <c r="G2435" s="610" t="s">
        <v>379</v>
      </c>
      <c r="H2435" s="611" t="s">
        <v>626</v>
      </c>
    </row>
    <row r="2436" spans="1:8" ht="31.5">
      <c r="A2436" s="615" t="s">
        <v>663</v>
      </c>
      <c r="B2436" s="616" t="s">
        <v>664</v>
      </c>
      <c r="C2436" s="617" t="s">
        <v>379</v>
      </c>
      <c r="D2436" s="617" t="s">
        <v>379</v>
      </c>
      <c r="E2436" s="617" t="s">
        <v>379</v>
      </c>
      <c r="F2436" s="617" t="s">
        <v>379</v>
      </c>
      <c r="G2436" s="617" t="s">
        <v>379</v>
      </c>
      <c r="H2436" s="618" t="s">
        <v>626</v>
      </c>
    </row>
    <row r="2437" spans="1:8" ht="15.75">
      <c r="A2437" s="619"/>
      <c r="B2437" s="620"/>
      <c r="C2437" s="621"/>
      <c r="D2437" s="621"/>
      <c r="E2437" s="621"/>
      <c r="F2437" s="621"/>
      <c r="G2437" s="621"/>
      <c r="H2437" s="148"/>
    </row>
    <row r="2438" spans="1:8" ht="12.75" customHeight="1">
      <c r="A2438" s="707" t="s">
        <v>665</v>
      </c>
      <c r="B2438" s="707"/>
      <c r="C2438" s="707"/>
      <c r="D2438" s="707"/>
      <c r="E2438" s="707"/>
      <c r="F2438" s="707"/>
      <c r="G2438" s="707"/>
      <c r="H2438" s="707"/>
    </row>
    <row r="2442" ht="15.75">
      <c r="H2442" s="11" t="s">
        <v>609</v>
      </c>
    </row>
    <row r="2443" ht="15.75">
      <c r="H2443" s="11" t="s">
        <v>610</v>
      </c>
    </row>
    <row r="2444" ht="15.75">
      <c r="H2444" s="11" t="s">
        <v>611</v>
      </c>
    </row>
    <row r="2445" ht="15.75">
      <c r="H2445" s="11"/>
    </row>
    <row r="2446" spans="1:8" ht="12.75" customHeight="1">
      <c r="A2446" s="713" t="s">
        <v>612</v>
      </c>
      <c r="B2446" s="713"/>
      <c r="C2446" s="713"/>
      <c r="D2446" s="713"/>
      <c r="E2446" s="713"/>
      <c r="F2446" s="713"/>
      <c r="G2446" s="713"/>
      <c r="H2446" s="713"/>
    </row>
    <row r="2447" spans="1:8" ht="12.75" customHeight="1">
      <c r="A2447" s="713" t="s">
        <v>613</v>
      </c>
      <c r="B2447" s="713"/>
      <c r="C2447" s="713"/>
      <c r="D2447" s="713"/>
      <c r="E2447" s="713"/>
      <c r="F2447" s="713"/>
      <c r="G2447" s="713"/>
      <c r="H2447" s="713"/>
    </row>
    <row r="2448" ht="15.75">
      <c r="H2448" s="11" t="s">
        <v>43</v>
      </c>
    </row>
    <row r="2449" ht="15.75">
      <c r="H2449" s="11" t="s">
        <v>44</v>
      </c>
    </row>
    <row r="2450" ht="15.75">
      <c r="H2450" s="11" t="s">
        <v>45</v>
      </c>
    </row>
    <row r="2451" ht="15.75">
      <c r="H2451" s="594" t="s">
        <v>614</v>
      </c>
    </row>
    <row r="2452" ht="15.75">
      <c r="H2452" s="11" t="s">
        <v>615</v>
      </c>
    </row>
    <row r="2453" ht="15.75">
      <c r="H2453" s="11" t="s">
        <v>47</v>
      </c>
    </row>
    <row r="2454" ht="15.75">
      <c r="A2454" s="595"/>
    </row>
    <row r="2455" ht="15.75">
      <c r="A2455" s="567" t="s">
        <v>784</v>
      </c>
    </row>
    <row r="2456" spans="1:8" ht="12.75" customHeight="1">
      <c r="A2456" s="717" t="s">
        <v>0</v>
      </c>
      <c r="B2456" s="714"/>
      <c r="C2456" s="714"/>
      <c r="D2456" s="714"/>
      <c r="E2456" s="714"/>
      <c r="F2456" s="714"/>
      <c r="G2456" s="714"/>
      <c r="H2456" s="714"/>
    </row>
    <row r="2457" spans="1:8" ht="16.5" thickBot="1">
      <c r="A2457" s="597"/>
      <c r="B2457" s="597"/>
      <c r="C2457" s="598"/>
      <c r="D2457" s="598"/>
      <c r="E2457" s="598"/>
      <c r="F2457" s="598"/>
      <c r="G2457" s="598"/>
      <c r="H2457" s="598"/>
    </row>
    <row r="2458" spans="1:8" ht="12.75" customHeight="1">
      <c r="A2458" s="708" t="s">
        <v>617</v>
      </c>
      <c r="B2458" s="710" t="s">
        <v>618</v>
      </c>
      <c r="C2458" s="711" t="s">
        <v>619</v>
      </c>
      <c r="D2458" s="711"/>
      <c r="E2458" s="711"/>
      <c r="F2458" s="711"/>
      <c r="G2458" s="712" t="s">
        <v>620</v>
      </c>
      <c r="H2458" s="708" t="s">
        <v>621</v>
      </c>
    </row>
    <row r="2459" spans="1:8" ht="15.75">
      <c r="A2459" s="708"/>
      <c r="B2459" s="710"/>
      <c r="C2459" s="711"/>
      <c r="D2459" s="711"/>
      <c r="E2459" s="711"/>
      <c r="F2459" s="711"/>
      <c r="G2459" s="712"/>
      <c r="H2459" s="708"/>
    </row>
    <row r="2460" spans="1:8" ht="31.5">
      <c r="A2460" s="708"/>
      <c r="B2460" s="710"/>
      <c r="C2460" s="601" t="s">
        <v>622</v>
      </c>
      <c r="D2460" s="601" t="s">
        <v>623</v>
      </c>
      <c r="E2460" s="602" t="s">
        <v>622</v>
      </c>
      <c r="F2460" s="603" t="s">
        <v>623</v>
      </c>
      <c r="G2460" s="712"/>
      <c r="H2460" s="708"/>
    </row>
    <row r="2461" spans="1:8" ht="15.75">
      <c r="A2461" s="599">
        <v>1</v>
      </c>
      <c r="B2461" s="599">
        <v>2</v>
      </c>
      <c r="C2461" s="604">
        <v>3</v>
      </c>
      <c r="D2461" s="604">
        <v>4</v>
      </c>
      <c r="E2461" s="605"/>
      <c r="F2461" s="606"/>
      <c r="G2461" s="600">
        <v>5</v>
      </c>
      <c r="H2461" s="599">
        <v>6</v>
      </c>
    </row>
    <row r="2462" spans="1:8" ht="12.75" customHeight="1">
      <c r="A2462" s="607">
        <v>1</v>
      </c>
      <c r="B2462" s="709" t="s">
        <v>624</v>
      </c>
      <c r="C2462" s="709"/>
      <c r="D2462" s="709"/>
      <c r="E2462" s="709"/>
      <c r="F2462" s="709"/>
      <c r="G2462" s="709"/>
      <c r="H2462" s="709"/>
    </row>
    <row r="2463" spans="1:8" ht="15.75">
      <c r="A2463" s="608" t="s">
        <v>74</v>
      </c>
      <c r="B2463" s="609" t="s">
        <v>625</v>
      </c>
      <c r="C2463" s="610" t="s">
        <v>379</v>
      </c>
      <c r="D2463" s="610" t="s">
        <v>379</v>
      </c>
      <c r="E2463" s="610" t="s">
        <v>379</v>
      </c>
      <c r="F2463" s="610" t="s">
        <v>379</v>
      </c>
      <c r="G2463" s="610" t="s">
        <v>379</v>
      </c>
      <c r="H2463" s="611" t="s">
        <v>626</v>
      </c>
    </row>
    <row r="2464" spans="1:8" ht="15.75">
      <c r="A2464" s="608" t="s">
        <v>313</v>
      </c>
      <c r="B2464" s="609" t="s">
        <v>627</v>
      </c>
      <c r="C2464" s="610" t="s">
        <v>379</v>
      </c>
      <c r="D2464" s="610" t="s">
        <v>379</v>
      </c>
      <c r="E2464" s="610" t="s">
        <v>379</v>
      </c>
      <c r="F2464" s="610" t="s">
        <v>379</v>
      </c>
      <c r="G2464" s="610" t="s">
        <v>379</v>
      </c>
      <c r="H2464" s="611" t="s">
        <v>626</v>
      </c>
    </row>
    <row r="2465" spans="1:8" ht="31.5">
      <c r="A2465" s="608" t="s">
        <v>315</v>
      </c>
      <c r="B2465" s="612" t="s">
        <v>628</v>
      </c>
      <c r="C2465" s="610" t="s">
        <v>379</v>
      </c>
      <c r="D2465" s="610" t="s">
        <v>379</v>
      </c>
      <c r="E2465" s="610" t="s">
        <v>379</v>
      </c>
      <c r="F2465" s="610" t="s">
        <v>379</v>
      </c>
      <c r="G2465" s="610" t="s">
        <v>379</v>
      </c>
      <c r="H2465" s="611" t="s">
        <v>626</v>
      </c>
    </row>
    <row r="2466" spans="1:8" ht="47.25">
      <c r="A2466" s="608" t="s">
        <v>317</v>
      </c>
      <c r="B2466" s="612" t="s">
        <v>629</v>
      </c>
      <c r="C2466" s="610" t="s">
        <v>379</v>
      </c>
      <c r="D2466" s="610" t="s">
        <v>379</v>
      </c>
      <c r="E2466" s="610" t="s">
        <v>379</v>
      </c>
      <c r="F2466" s="610" t="s">
        <v>379</v>
      </c>
      <c r="G2466" s="610" t="s">
        <v>379</v>
      </c>
      <c r="H2466" s="611" t="s">
        <v>626</v>
      </c>
    </row>
    <row r="2467" spans="1:8" ht="15.75">
      <c r="A2467" s="608" t="s">
        <v>630</v>
      </c>
      <c r="B2467" s="613" t="s">
        <v>631</v>
      </c>
      <c r="C2467" s="610" t="s">
        <v>379</v>
      </c>
      <c r="D2467" s="610" t="s">
        <v>379</v>
      </c>
      <c r="E2467" s="610" t="s">
        <v>379</v>
      </c>
      <c r="F2467" s="610" t="s">
        <v>379</v>
      </c>
      <c r="G2467" s="610" t="s">
        <v>379</v>
      </c>
      <c r="H2467" s="611" t="s">
        <v>626</v>
      </c>
    </row>
    <row r="2468" spans="1:8" ht="15.75">
      <c r="A2468" s="608" t="s">
        <v>632</v>
      </c>
      <c r="B2468" s="613" t="s">
        <v>633</v>
      </c>
      <c r="C2468" s="610" t="s">
        <v>379</v>
      </c>
      <c r="D2468" s="610" t="s">
        <v>379</v>
      </c>
      <c r="E2468" s="610" t="s">
        <v>379</v>
      </c>
      <c r="F2468" s="610" t="s">
        <v>379</v>
      </c>
      <c r="G2468" s="610" t="s">
        <v>379</v>
      </c>
      <c r="H2468" s="611" t="s">
        <v>626</v>
      </c>
    </row>
    <row r="2469" spans="1:8" ht="12.75" customHeight="1">
      <c r="A2469" s="608">
        <v>2</v>
      </c>
      <c r="B2469" s="706" t="s">
        <v>634</v>
      </c>
      <c r="C2469" s="706"/>
      <c r="D2469" s="706"/>
      <c r="E2469" s="706"/>
      <c r="F2469" s="706"/>
      <c r="G2469" s="706"/>
      <c r="H2469" s="706"/>
    </row>
    <row r="2470" spans="1:8" ht="31.5">
      <c r="A2470" s="608" t="s">
        <v>321</v>
      </c>
      <c r="B2470" s="612" t="s">
        <v>635</v>
      </c>
      <c r="C2470" s="610" t="s">
        <v>710</v>
      </c>
      <c r="D2470" s="610" t="s">
        <v>711</v>
      </c>
      <c r="E2470" s="610" t="s">
        <v>379</v>
      </c>
      <c r="F2470" s="610" t="s">
        <v>379</v>
      </c>
      <c r="G2470" s="614">
        <v>0</v>
      </c>
      <c r="H2470" s="611"/>
    </row>
    <row r="2471" spans="1:8" ht="47.25">
      <c r="A2471" s="608" t="s">
        <v>325</v>
      </c>
      <c r="B2471" s="612" t="s">
        <v>638</v>
      </c>
      <c r="C2471" s="610" t="s">
        <v>379</v>
      </c>
      <c r="D2471" s="610" t="s">
        <v>379</v>
      </c>
      <c r="E2471" s="610" t="s">
        <v>379</v>
      </c>
      <c r="F2471" s="610" t="s">
        <v>379</v>
      </c>
      <c r="G2471" s="610" t="s">
        <v>379</v>
      </c>
      <c r="H2471" s="611" t="s">
        <v>626</v>
      </c>
    </row>
    <row r="2472" spans="1:8" ht="31.5">
      <c r="A2472" s="608" t="s">
        <v>639</v>
      </c>
      <c r="B2472" s="612" t="s">
        <v>640</v>
      </c>
      <c r="C2472" s="610" t="s">
        <v>379</v>
      </c>
      <c r="D2472" s="610" t="s">
        <v>379</v>
      </c>
      <c r="E2472" s="610" t="s">
        <v>379</v>
      </c>
      <c r="F2472" s="610" t="s">
        <v>379</v>
      </c>
      <c r="G2472" s="610" t="s">
        <v>379</v>
      </c>
      <c r="H2472" s="611" t="s">
        <v>626</v>
      </c>
    </row>
    <row r="2473" spans="1:8" ht="12.75" customHeight="1">
      <c r="A2473" s="608">
        <v>3</v>
      </c>
      <c r="B2473" s="706" t="s">
        <v>641</v>
      </c>
      <c r="C2473" s="706"/>
      <c r="D2473" s="706"/>
      <c r="E2473" s="706"/>
      <c r="F2473" s="706"/>
      <c r="G2473" s="706"/>
      <c r="H2473" s="706"/>
    </row>
    <row r="2474" spans="1:8" ht="31.5">
      <c r="A2474" s="608" t="s">
        <v>378</v>
      </c>
      <c r="B2474" s="613" t="s">
        <v>642</v>
      </c>
      <c r="C2474" s="610" t="s">
        <v>379</v>
      </c>
      <c r="D2474" s="610" t="s">
        <v>379</v>
      </c>
      <c r="E2474" s="610" t="s">
        <v>379</v>
      </c>
      <c r="F2474" s="610" t="s">
        <v>379</v>
      </c>
      <c r="G2474" s="610" t="s">
        <v>379</v>
      </c>
      <c r="H2474" s="611" t="s">
        <v>626</v>
      </c>
    </row>
    <row r="2475" spans="1:8" ht="15.75">
      <c r="A2475" s="608" t="s">
        <v>643</v>
      </c>
      <c r="B2475" s="613" t="s">
        <v>644</v>
      </c>
      <c r="C2475" s="610" t="s">
        <v>710</v>
      </c>
      <c r="D2475" s="610" t="s">
        <v>712</v>
      </c>
      <c r="E2475" s="610" t="s">
        <v>379</v>
      </c>
      <c r="F2475" s="610" t="s">
        <v>379</v>
      </c>
      <c r="G2475" s="614">
        <v>0</v>
      </c>
      <c r="H2475" s="611"/>
    </row>
    <row r="2476" spans="1:8" ht="15.75">
      <c r="A2476" s="608" t="s">
        <v>380</v>
      </c>
      <c r="B2476" s="613" t="s">
        <v>646</v>
      </c>
      <c r="C2476" s="610" t="s">
        <v>713</v>
      </c>
      <c r="D2476" s="610" t="s">
        <v>714</v>
      </c>
      <c r="E2476" s="610" t="s">
        <v>379</v>
      </c>
      <c r="F2476" s="610" t="s">
        <v>379</v>
      </c>
      <c r="G2476" s="614">
        <v>0</v>
      </c>
      <c r="H2476" s="611"/>
    </row>
    <row r="2477" spans="1:8" ht="15.75">
      <c r="A2477" s="608" t="s">
        <v>649</v>
      </c>
      <c r="B2477" s="613" t="s">
        <v>650</v>
      </c>
      <c r="C2477" s="610" t="s">
        <v>715</v>
      </c>
      <c r="D2477" s="610" t="s">
        <v>716</v>
      </c>
      <c r="E2477" s="610" t="s">
        <v>379</v>
      </c>
      <c r="F2477" s="610" t="s">
        <v>379</v>
      </c>
      <c r="G2477" s="614">
        <v>0</v>
      </c>
      <c r="H2477" s="611"/>
    </row>
    <row r="2478" spans="1:8" ht="15.75">
      <c r="A2478" s="608" t="s">
        <v>653</v>
      </c>
      <c r="B2478" s="613" t="s">
        <v>654</v>
      </c>
      <c r="C2478" s="610" t="s">
        <v>717</v>
      </c>
      <c r="D2478" s="610" t="s">
        <v>711</v>
      </c>
      <c r="E2478" s="610" t="s">
        <v>379</v>
      </c>
      <c r="F2478" s="610" t="s">
        <v>379</v>
      </c>
      <c r="G2478" s="614">
        <v>0</v>
      </c>
      <c r="H2478" s="611"/>
    </row>
    <row r="2479" spans="1:8" ht="12.75" customHeight="1">
      <c r="A2479" s="608">
        <v>4</v>
      </c>
      <c r="B2479" s="706" t="s">
        <v>656</v>
      </c>
      <c r="C2479" s="706"/>
      <c r="D2479" s="706"/>
      <c r="E2479" s="706"/>
      <c r="F2479" s="706"/>
      <c r="G2479" s="706"/>
      <c r="H2479" s="706"/>
    </row>
    <row r="2480" spans="1:8" ht="31.5">
      <c r="A2480" s="608" t="s">
        <v>657</v>
      </c>
      <c r="B2480" s="612" t="s">
        <v>658</v>
      </c>
      <c r="C2480" s="610" t="s">
        <v>379</v>
      </c>
      <c r="D2480" s="610" t="s">
        <v>379</v>
      </c>
      <c r="E2480" s="610" t="s">
        <v>379</v>
      </c>
      <c r="F2480" s="610" t="s">
        <v>379</v>
      </c>
      <c r="G2480" s="610" t="s">
        <v>379</v>
      </c>
      <c r="H2480" s="611" t="s">
        <v>626</v>
      </c>
    </row>
    <row r="2481" spans="1:8" ht="47.25">
      <c r="A2481" s="608" t="s">
        <v>659</v>
      </c>
      <c r="B2481" s="612" t="s">
        <v>660</v>
      </c>
      <c r="C2481" s="610" t="s">
        <v>379</v>
      </c>
      <c r="D2481" s="610" t="s">
        <v>379</v>
      </c>
      <c r="E2481" s="610" t="s">
        <v>379</v>
      </c>
      <c r="F2481" s="610" t="s">
        <v>379</v>
      </c>
      <c r="G2481" s="610" t="s">
        <v>379</v>
      </c>
      <c r="H2481" s="611" t="s">
        <v>626</v>
      </c>
    </row>
    <row r="2482" spans="1:8" ht="31.5">
      <c r="A2482" s="608" t="s">
        <v>661</v>
      </c>
      <c r="B2482" s="613" t="s">
        <v>662</v>
      </c>
      <c r="C2482" s="610" t="s">
        <v>379</v>
      </c>
      <c r="D2482" s="610" t="s">
        <v>379</v>
      </c>
      <c r="E2482" s="610" t="s">
        <v>379</v>
      </c>
      <c r="F2482" s="610" t="s">
        <v>379</v>
      </c>
      <c r="G2482" s="610" t="s">
        <v>379</v>
      </c>
      <c r="H2482" s="611" t="s">
        <v>626</v>
      </c>
    </row>
    <row r="2483" spans="1:8" ht="31.5">
      <c r="A2483" s="615" t="s">
        <v>663</v>
      </c>
      <c r="B2483" s="616" t="s">
        <v>664</v>
      </c>
      <c r="C2483" s="617" t="s">
        <v>379</v>
      </c>
      <c r="D2483" s="617" t="s">
        <v>379</v>
      </c>
      <c r="E2483" s="617" t="s">
        <v>379</v>
      </c>
      <c r="F2483" s="617" t="s">
        <v>379</v>
      </c>
      <c r="G2483" s="617" t="s">
        <v>379</v>
      </c>
      <c r="H2483" s="618" t="s">
        <v>626</v>
      </c>
    </row>
    <row r="2484" spans="1:8" ht="15.75">
      <c r="A2484" s="619"/>
      <c r="B2484" s="620"/>
      <c r="C2484" s="621"/>
      <c r="D2484" s="621"/>
      <c r="E2484" s="621"/>
      <c r="F2484" s="621"/>
      <c r="G2484" s="621"/>
      <c r="H2484" s="148"/>
    </row>
    <row r="2485" spans="1:8" ht="12.75" customHeight="1">
      <c r="A2485" s="707" t="s">
        <v>665</v>
      </c>
      <c r="B2485" s="707"/>
      <c r="C2485" s="707"/>
      <c r="D2485" s="707"/>
      <c r="E2485" s="707"/>
      <c r="F2485" s="707"/>
      <c r="G2485" s="707"/>
      <c r="H2485" s="707"/>
    </row>
    <row r="2491" ht="15.75">
      <c r="H2491" s="11" t="s">
        <v>609</v>
      </c>
    </row>
    <row r="2492" ht="15.75">
      <c r="H2492" s="11" t="s">
        <v>610</v>
      </c>
    </row>
    <row r="2493" ht="15.75">
      <c r="H2493" s="11" t="s">
        <v>611</v>
      </c>
    </row>
    <row r="2494" ht="15.75">
      <c r="H2494" s="11"/>
    </row>
    <row r="2495" spans="1:8" ht="12.75" customHeight="1">
      <c r="A2495" s="713" t="s">
        <v>612</v>
      </c>
      <c r="B2495" s="713"/>
      <c r="C2495" s="713"/>
      <c r="D2495" s="713"/>
      <c r="E2495" s="713"/>
      <c r="F2495" s="713"/>
      <c r="G2495" s="713"/>
      <c r="H2495" s="713"/>
    </row>
    <row r="2496" spans="1:8" ht="12.75" customHeight="1">
      <c r="A2496" s="713" t="s">
        <v>613</v>
      </c>
      <c r="B2496" s="713"/>
      <c r="C2496" s="713"/>
      <c r="D2496" s="713"/>
      <c r="E2496" s="713"/>
      <c r="F2496" s="713"/>
      <c r="G2496" s="713"/>
      <c r="H2496" s="713"/>
    </row>
    <row r="2497" ht="15.75">
      <c r="H2497" s="11" t="s">
        <v>43</v>
      </c>
    </row>
    <row r="2498" ht="15.75">
      <c r="H2498" s="11" t="s">
        <v>44</v>
      </c>
    </row>
    <row r="2499" ht="15.75">
      <c r="H2499" s="11" t="s">
        <v>45</v>
      </c>
    </row>
    <row r="2500" ht="15.75">
      <c r="H2500" s="594" t="s">
        <v>614</v>
      </c>
    </row>
    <row r="2501" ht="15.75">
      <c r="H2501" s="11" t="s">
        <v>615</v>
      </c>
    </row>
    <row r="2502" ht="15.75">
      <c r="H2502" s="11" t="s">
        <v>47</v>
      </c>
    </row>
    <row r="2503" ht="15.75">
      <c r="A2503" s="595"/>
    </row>
    <row r="2504" ht="15.75">
      <c r="A2504" s="3" t="s">
        <v>785</v>
      </c>
    </row>
    <row r="2505" spans="1:8" ht="12.75" customHeight="1">
      <c r="A2505" s="717" t="s">
        <v>0</v>
      </c>
      <c r="B2505" s="714"/>
      <c r="C2505" s="714"/>
      <c r="D2505" s="714"/>
      <c r="E2505" s="714"/>
      <c r="F2505" s="714"/>
      <c r="G2505" s="714"/>
      <c r="H2505" s="714"/>
    </row>
    <row r="2506" spans="1:8" ht="16.5" thickBot="1">
      <c r="A2506" s="597"/>
      <c r="B2506" s="597"/>
      <c r="C2506" s="598"/>
      <c r="D2506" s="598"/>
      <c r="E2506" s="598"/>
      <c r="F2506" s="598"/>
      <c r="G2506" s="598"/>
      <c r="H2506" s="598"/>
    </row>
    <row r="2507" spans="1:8" ht="12.75" customHeight="1">
      <c r="A2507" s="708" t="s">
        <v>617</v>
      </c>
      <c r="B2507" s="710" t="s">
        <v>618</v>
      </c>
      <c r="C2507" s="711" t="s">
        <v>619</v>
      </c>
      <c r="D2507" s="711"/>
      <c r="E2507" s="711"/>
      <c r="F2507" s="711"/>
      <c r="G2507" s="712" t="s">
        <v>620</v>
      </c>
      <c r="H2507" s="708" t="s">
        <v>621</v>
      </c>
    </row>
    <row r="2508" spans="1:8" ht="15.75">
      <c r="A2508" s="708"/>
      <c r="B2508" s="710"/>
      <c r="C2508" s="711"/>
      <c r="D2508" s="711"/>
      <c r="E2508" s="711"/>
      <c r="F2508" s="711"/>
      <c r="G2508" s="712"/>
      <c r="H2508" s="708"/>
    </row>
    <row r="2509" spans="1:8" ht="31.5">
      <c r="A2509" s="708"/>
      <c r="B2509" s="710"/>
      <c r="C2509" s="601" t="s">
        <v>622</v>
      </c>
      <c r="D2509" s="601" t="s">
        <v>623</v>
      </c>
      <c r="E2509" s="602" t="s">
        <v>622</v>
      </c>
      <c r="F2509" s="603" t="s">
        <v>623</v>
      </c>
      <c r="G2509" s="712"/>
      <c r="H2509" s="708"/>
    </row>
    <row r="2510" spans="1:8" ht="15.75">
      <c r="A2510" s="599">
        <v>1</v>
      </c>
      <c r="B2510" s="599">
        <v>2</v>
      </c>
      <c r="C2510" s="604">
        <v>3</v>
      </c>
      <c r="D2510" s="604">
        <v>4</v>
      </c>
      <c r="E2510" s="605"/>
      <c r="F2510" s="606"/>
      <c r="G2510" s="600">
        <v>5</v>
      </c>
      <c r="H2510" s="599">
        <v>6</v>
      </c>
    </row>
    <row r="2511" spans="1:8" ht="12.75" customHeight="1">
      <c r="A2511" s="607">
        <v>1</v>
      </c>
      <c r="B2511" s="709" t="s">
        <v>624</v>
      </c>
      <c r="C2511" s="709"/>
      <c r="D2511" s="709"/>
      <c r="E2511" s="709"/>
      <c r="F2511" s="709"/>
      <c r="G2511" s="709"/>
      <c r="H2511" s="709"/>
    </row>
    <row r="2512" spans="1:8" ht="15.75">
      <c r="A2512" s="608" t="s">
        <v>74</v>
      </c>
      <c r="B2512" s="609" t="s">
        <v>625</v>
      </c>
      <c r="C2512" s="610" t="s">
        <v>379</v>
      </c>
      <c r="D2512" s="610" t="s">
        <v>379</v>
      </c>
      <c r="E2512" s="610" t="s">
        <v>379</v>
      </c>
      <c r="F2512" s="610" t="s">
        <v>379</v>
      </c>
      <c r="G2512" s="610" t="s">
        <v>379</v>
      </c>
      <c r="H2512" s="611" t="s">
        <v>626</v>
      </c>
    </row>
    <row r="2513" spans="1:8" ht="15.75">
      <c r="A2513" s="608" t="s">
        <v>313</v>
      </c>
      <c r="B2513" s="609" t="s">
        <v>627</v>
      </c>
      <c r="C2513" s="610" t="s">
        <v>379</v>
      </c>
      <c r="D2513" s="610" t="s">
        <v>379</v>
      </c>
      <c r="E2513" s="610" t="s">
        <v>379</v>
      </c>
      <c r="F2513" s="610" t="s">
        <v>379</v>
      </c>
      <c r="G2513" s="610" t="s">
        <v>379</v>
      </c>
      <c r="H2513" s="611" t="s">
        <v>626</v>
      </c>
    </row>
    <row r="2514" spans="1:8" ht="31.5">
      <c r="A2514" s="608" t="s">
        <v>315</v>
      </c>
      <c r="B2514" s="612" t="s">
        <v>628</v>
      </c>
      <c r="C2514" s="610" t="s">
        <v>379</v>
      </c>
      <c r="D2514" s="610" t="s">
        <v>379</v>
      </c>
      <c r="E2514" s="610" t="s">
        <v>379</v>
      </c>
      <c r="F2514" s="610" t="s">
        <v>379</v>
      </c>
      <c r="G2514" s="610" t="s">
        <v>379</v>
      </c>
      <c r="H2514" s="611" t="s">
        <v>626</v>
      </c>
    </row>
    <row r="2515" spans="1:8" ht="47.25">
      <c r="A2515" s="608" t="s">
        <v>317</v>
      </c>
      <c r="B2515" s="612" t="s">
        <v>629</v>
      </c>
      <c r="C2515" s="610" t="s">
        <v>379</v>
      </c>
      <c r="D2515" s="610" t="s">
        <v>379</v>
      </c>
      <c r="E2515" s="610" t="s">
        <v>379</v>
      </c>
      <c r="F2515" s="610" t="s">
        <v>379</v>
      </c>
      <c r="G2515" s="610" t="s">
        <v>379</v>
      </c>
      <c r="H2515" s="611" t="s">
        <v>626</v>
      </c>
    </row>
    <row r="2516" spans="1:8" ht="15.75">
      <c r="A2516" s="608" t="s">
        <v>630</v>
      </c>
      <c r="B2516" s="613" t="s">
        <v>631</v>
      </c>
      <c r="C2516" s="610" t="s">
        <v>379</v>
      </c>
      <c r="D2516" s="610" t="s">
        <v>379</v>
      </c>
      <c r="E2516" s="610" t="s">
        <v>379</v>
      </c>
      <c r="F2516" s="610" t="s">
        <v>379</v>
      </c>
      <c r="G2516" s="610" t="s">
        <v>379</v>
      </c>
      <c r="H2516" s="611" t="s">
        <v>626</v>
      </c>
    </row>
    <row r="2517" spans="1:8" ht="15.75">
      <c r="A2517" s="608" t="s">
        <v>632</v>
      </c>
      <c r="B2517" s="613" t="s">
        <v>633</v>
      </c>
      <c r="C2517" s="610" t="s">
        <v>379</v>
      </c>
      <c r="D2517" s="610" t="s">
        <v>379</v>
      </c>
      <c r="E2517" s="610" t="s">
        <v>379</v>
      </c>
      <c r="F2517" s="610" t="s">
        <v>379</v>
      </c>
      <c r="G2517" s="610" t="s">
        <v>379</v>
      </c>
      <c r="H2517" s="611" t="s">
        <v>626</v>
      </c>
    </row>
    <row r="2518" spans="1:8" ht="12.75" customHeight="1">
      <c r="A2518" s="608">
        <v>2</v>
      </c>
      <c r="B2518" s="706" t="s">
        <v>634</v>
      </c>
      <c r="C2518" s="706"/>
      <c r="D2518" s="706"/>
      <c r="E2518" s="706"/>
      <c r="F2518" s="706"/>
      <c r="G2518" s="706"/>
      <c r="H2518" s="706"/>
    </row>
    <row r="2519" spans="1:8" ht="31.5">
      <c r="A2519" s="608" t="s">
        <v>321</v>
      </c>
      <c r="B2519" s="612" t="s">
        <v>635</v>
      </c>
      <c r="C2519" s="610" t="s">
        <v>636</v>
      </c>
      <c r="D2519" s="610" t="s">
        <v>670</v>
      </c>
      <c r="E2519" s="610" t="s">
        <v>379</v>
      </c>
      <c r="F2519" s="610" t="s">
        <v>379</v>
      </c>
      <c r="G2519" s="614">
        <v>0</v>
      </c>
      <c r="H2519" s="611"/>
    </row>
    <row r="2520" spans="1:8" ht="47.25">
      <c r="A2520" s="608" t="s">
        <v>325</v>
      </c>
      <c r="B2520" s="612" t="s">
        <v>638</v>
      </c>
      <c r="C2520" s="610" t="s">
        <v>379</v>
      </c>
      <c r="D2520" s="610" t="s">
        <v>379</v>
      </c>
      <c r="E2520" s="610" t="s">
        <v>379</v>
      </c>
      <c r="F2520" s="610" t="s">
        <v>379</v>
      </c>
      <c r="G2520" s="610" t="s">
        <v>379</v>
      </c>
      <c r="H2520" s="611" t="s">
        <v>626</v>
      </c>
    </row>
    <row r="2521" spans="1:8" ht="31.5">
      <c r="A2521" s="608" t="s">
        <v>639</v>
      </c>
      <c r="B2521" s="612" t="s">
        <v>640</v>
      </c>
      <c r="C2521" s="610" t="s">
        <v>379</v>
      </c>
      <c r="D2521" s="610" t="s">
        <v>379</v>
      </c>
      <c r="E2521" s="610" t="s">
        <v>379</v>
      </c>
      <c r="F2521" s="610" t="s">
        <v>379</v>
      </c>
      <c r="G2521" s="610" t="s">
        <v>379</v>
      </c>
      <c r="H2521" s="611" t="s">
        <v>626</v>
      </c>
    </row>
    <row r="2522" spans="1:8" ht="12.75" customHeight="1">
      <c r="A2522" s="608">
        <v>3</v>
      </c>
      <c r="B2522" s="706" t="s">
        <v>641</v>
      </c>
      <c r="C2522" s="706"/>
      <c r="D2522" s="706"/>
      <c r="E2522" s="706"/>
      <c r="F2522" s="706"/>
      <c r="G2522" s="706"/>
      <c r="H2522" s="706"/>
    </row>
    <row r="2523" spans="1:8" ht="31.5">
      <c r="A2523" s="608" t="s">
        <v>378</v>
      </c>
      <c r="B2523" s="613" t="s">
        <v>642</v>
      </c>
      <c r="C2523" s="610" t="s">
        <v>379</v>
      </c>
      <c r="D2523" s="610" t="s">
        <v>379</v>
      </c>
      <c r="E2523" s="610" t="s">
        <v>379</v>
      </c>
      <c r="F2523" s="610" t="s">
        <v>379</v>
      </c>
      <c r="G2523" s="610" t="s">
        <v>379</v>
      </c>
      <c r="H2523" s="611" t="s">
        <v>626</v>
      </c>
    </row>
    <row r="2524" spans="1:8" ht="15.75">
      <c r="A2524" s="608" t="s">
        <v>643</v>
      </c>
      <c r="B2524" s="613" t="s">
        <v>644</v>
      </c>
      <c r="C2524" s="610" t="s">
        <v>636</v>
      </c>
      <c r="D2524" s="610" t="s">
        <v>671</v>
      </c>
      <c r="E2524" s="610" t="s">
        <v>379</v>
      </c>
      <c r="F2524" s="610" t="s">
        <v>379</v>
      </c>
      <c r="G2524" s="614">
        <v>0</v>
      </c>
      <c r="H2524" s="611"/>
    </row>
    <row r="2525" spans="1:8" ht="15.75">
      <c r="A2525" s="608" t="s">
        <v>380</v>
      </c>
      <c r="B2525" s="613" t="s">
        <v>646</v>
      </c>
      <c r="C2525" s="610" t="s">
        <v>647</v>
      </c>
      <c r="D2525" s="610" t="s">
        <v>651</v>
      </c>
      <c r="E2525" s="610" t="s">
        <v>379</v>
      </c>
      <c r="F2525" s="610" t="s">
        <v>379</v>
      </c>
      <c r="G2525" s="614">
        <v>0</v>
      </c>
      <c r="H2525" s="611"/>
    </row>
    <row r="2526" spans="1:8" ht="15.75">
      <c r="A2526" s="608" t="s">
        <v>649</v>
      </c>
      <c r="B2526" s="613" t="s">
        <v>650</v>
      </c>
      <c r="C2526" s="610" t="s">
        <v>651</v>
      </c>
      <c r="D2526" s="610" t="s">
        <v>672</v>
      </c>
      <c r="E2526" s="610" t="s">
        <v>379</v>
      </c>
      <c r="F2526" s="610" t="s">
        <v>379</v>
      </c>
      <c r="G2526" s="614">
        <v>0</v>
      </c>
      <c r="H2526" s="611"/>
    </row>
    <row r="2527" spans="1:8" ht="15.75">
      <c r="A2527" s="608" t="s">
        <v>653</v>
      </c>
      <c r="B2527" s="613" t="s">
        <v>654</v>
      </c>
      <c r="C2527" s="610" t="s">
        <v>672</v>
      </c>
      <c r="D2527" s="610" t="s">
        <v>670</v>
      </c>
      <c r="E2527" s="610" t="s">
        <v>379</v>
      </c>
      <c r="F2527" s="610" t="s">
        <v>379</v>
      </c>
      <c r="G2527" s="614">
        <v>0</v>
      </c>
      <c r="H2527" s="611"/>
    </row>
    <row r="2528" spans="1:8" ht="12.75" customHeight="1">
      <c r="A2528" s="608">
        <v>4</v>
      </c>
      <c r="B2528" s="706" t="s">
        <v>656</v>
      </c>
      <c r="C2528" s="706"/>
      <c r="D2528" s="706"/>
      <c r="E2528" s="706"/>
      <c r="F2528" s="706"/>
      <c r="G2528" s="706"/>
      <c r="H2528" s="706"/>
    </row>
    <row r="2529" spans="1:8" ht="31.5">
      <c r="A2529" s="608" t="s">
        <v>657</v>
      </c>
      <c r="B2529" s="612" t="s">
        <v>658</v>
      </c>
      <c r="C2529" s="610" t="s">
        <v>379</v>
      </c>
      <c r="D2529" s="610" t="s">
        <v>379</v>
      </c>
      <c r="E2529" s="610" t="s">
        <v>379</v>
      </c>
      <c r="F2529" s="610" t="s">
        <v>379</v>
      </c>
      <c r="G2529" s="610" t="s">
        <v>379</v>
      </c>
      <c r="H2529" s="611" t="s">
        <v>626</v>
      </c>
    </row>
    <row r="2530" spans="1:8" ht="47.25">
      <c r="A2530" s="608" t="s">
        <v>659</v>
      </c>
      <c r="B2530" s="612" t="s">
        <v>660</v>
      </c>
      <c r="C2530" s="610" t="s">
        <v>379</v>
      </c>
      <c r="D2530" s="610" t="s">
        <v>379</v>
      </c>
      <c r="E2530" s="610" t="s">
        <v>379</v>
      </c>
      <c r="F2530" s="610" t="s">
        <v>379</v>
      </c>
      <c r="G2530" s="610" t="s">
        <v>379</v>
      </c>
      <c r="H2530" s="611" t="s">
        <v>626</v>
      </c>
    </row>
    <row r="2531" spans="1:8" ht="31.5">
      <c r="A2531" s="608" t="s">
        <v>661</v>
      </c>
      <c r="B2531" s="613" t="s">
        <v>662</v>
      </c>
      <c r="C2531" s="610" t="s">
        <v>379</v>
      </c>
      <c r="D2531" s="610" t="s">
        <v>379</v>
      </c>
      <c r="E2531" s="610" t="s">
        <v>379</v>
      </c>
      <c r="F2531" s="610" t="s">
        <v>379</v>
      </c>
      <c r="G2531" s="610" t="s">
        <v>379</v>
      </c>
      <c r="H2531" s="611" t="s">
        <v>626</v>
      </c>
    </row>
    <row r="2532" spans="1:8" ht="31.5">
      <c r="A2532" s="615" t="s">
        <v>663</v>
      </c>
      <c r="B2532" s="616" t="s">
        <v>664</v>
      </c>
      <c r="C2532" s="617" t="s">
        <v>379</v>
      </c>
      <c r="D2532" s="617" t="s">
        <v>379</v>
      </c>
      <c r="E2532" s="617" t="s">
        <v>379</v>
      </c>
      <c r="F2532" s="617" t="s">
        <v>379</v>
      </c>
      <c r="G2532" s="617" t="s">
        <v>379</v>
      </c>
      <c r="H2532" s="618" t="s">
        <v>626</v>
      </c>
    </row>
    <row r="2533" spans="1:8" ht="15.75">
      <c r="A2533" s="619"/>
      <c r="B2533" s="620"/>
      <c r="C2533" s="621"/>
      <c r="D2533" s="621"/>
      <c r="E2533" s="621"/>
      <c r="F2533" s="621"/>
      <c r="G2533" s="621"/>
      <c r="H2533" s="148"/>
    </row>
    <row r="2534" spans="1:8" ht="12.75" customHeight="1">
      <c r="A2534" s="707" t="s">
        <v>665</v>
      </c>
      <c r="B2534" s="707"/>
      <c r="C2534" s="707"/>
      <c r="D2534" s="707"/>
      <c r="E2534" s="707"/>
      <c r="F2534" s="707"/>
      <c r="G2534" s="707"/>
      <c r="H2534" s="707"/>
    </row>
    <row r="2538" ht="15.75">
      <c r="H2538" s="11" t="s">
        <v>609</v>
      </c>
    </row>
    <row r="2539" ht="15.75">
      <c r="H2539" s="11" t="s">
        <v>610</v>
      </c>
    </row>
    <row r="2540" ht="15.75">
      <c r="H2540" s="11" t="s">
        <v>611</v>
      </c>
    </row>
    <row r="2541" ht="15.75">
      <c r="H2541" s="11"/>
    </row>
    <row r="2542" spans="1:8" ht="12.75" customHeight="1">
      <c r="A2542" s="713" t="s">
        <v>612</v>
      </c>
      <c r="B2542" s="713"/>
      <c r="C2542" s="713"/>
      <c r="D2542" s="713"/>
      <c r="E2542" s="713"/>
      <c r="F2542" s="713"/>
      <c r="G2542" s="713"/>
      <c r="H2542" s="713"/>
    </row>
    <row r="2543" spans="1:8" ht="12.75" customHeight="1">
      <c r="A2543" s="713" t="s">
        <v>613</v>
      </c>
      <c r="B2543" s="713"/>
      <c r="C2543" s="713"/>
      <c r="D2543" s="713"/>
      <c r="E2543" s="713"/>
      <c r="F2543" s="713"/>
      <c r="G2543" s="713"/>
      <c r="H2543" s="713"/>
    </row>
    <row r="2544" ht="15.75">
      <c r="H2544" s="11" t="s">
        <v>43</v>
      </c>
    </row>
    <row r="2545" ht="15.75">
      <c r="H2545" s="11" t="s">
        <v>44</v>
      </c>
    </row>
    <row r="2546" ht="15.75">
      <c r="H2546" s="11" t="s">
        <v>45</v>
      </c>
    </row>
    <row r="2547" ht="15.75">
      <c r="H2547" s="594" t="s">
        <v>614</v>
      </c>
    </row>
    <row r="2548" ht="15.75">
      <c r="H2548" s="11" t="s">
        <v>615</v>
      </c>
    </row>
    <row r="2549" ht="15.75">
      <c r="H2549" s="11" t="s">
        <v>47</v>
      </c>
    </row>
    <row r="2550" ht="15.75">
      <c r="A2550" s="595"/>
    </row>
    <row r="2551" ht="15.75">
      <c r="A2551" s="3" t="s">
        <v>786</v>
      </c>
    </row>
    <row r="2552" spans="1:8" ht="12.75" customHeight="1">
      <c r="A2552" s="717" t="s">
        <v>0</v>
      </c>
      <c r="B2552" s="714"/>
      <c r="C2552" s="714"/>
      <c r="D2552" s="714"/>
      <c r="E2552" s="714"/>
      <c r="F2552" s="714"/>
      <c r="G2552" s="714"/>
      <c r="H2552" s="714"/>
    </row>
    <row r="2553" spans="1:8" ht="16.5" thickBot="1">
      <c r="A2553" s="597"/>
      <c r="B2553" s="597"/>
      <c r="C2553" s="598"/>
      <c r="D2553" s="598"/>
      <c r="E2553" s="598"/>
      <c r="F2553" s="598"/>
      <c r="G2553" s="598"/>
      <c r="H2553" s="598"/>
    </row>
    <row r="2554" spans="1:8" ht="12.75" customHeight="1">
      <c r="A2554" s="708" t="s">
        <v>617</v>
      </c>
      <c r="B2554" s="710" t="s">
        <v>618</v>
      </c>
      <c r="C2554" s="711" t="s">
        <v>619</v>
      </c>
      <c r="D2554" s="711"/>
      <c r="E2554" s="711"/>
      <c r="F2554" s="711"/>
      <c r="G2554" s="712" t="s">
        <v>620</v>
      </c>
      <c r="H2554" s="708" t="s">
        <v>621</v>
      </c>
    </row>
    <row r="2555" spans="1:8" ht="15.75">
      <c r="A2555" s="708"/>
      <c r="B2555" s="710"/>
      <c r="C2555" s="711"/>
      <c r="D2555" s="711"/>
      <c r="E2555" s="711"/>
      <c r="F2555" s="711"/>
      <c r="G2555" s="712"/>
      <c r="H2555" s="708"/>
    </row>
    <row r="2556" spans="1:8" ht="31.5">
      <c r="A2556" s="708"/>
      <c r="B2556" s="710"/>
      <c r="C2556" s="601" t="s">
        <v>622</v>
      </c>
      <c r="D2556" s="601" t="s">
        <v>623</v>
      </c>
      <c r="E2556" s="602" t="s">
        <v>622</v>
      </c>
      <c r="F2556" s="603" t="s">
        <v>623</v>
      </c>
      <c r="G2556" s="712"/>
      <c r="H2556" s="708"/>
    </row>
    <row r="2557" spans="1:8" ht="15.75">
      <c r="A2557" s="599">
        <v>1</v>
      </c>
      <c r="B2557" s="599">
        <v>2</v>
      </c>
      <c r="C2557" s="604">
        <v>3</v>
      </c>
      <c r="D2557" s="604">
        <v>4</v>
      </c>
      <c r="E2557" s="605"/>
      <c r="F2557" s="606"/>
      <c r="G2557" s="600">
        <v>5</v>
      </c>
      <c r="H2557" s="599">
        <v>6</v>
      </c>
    </row>
    <row r="2558" spans="1:8" ht="12.75" customHeight="1">
      <c r="A2558" s="607">
        <v>1</v>
      </c>
      <c r="B2558" s="709" t="s">
        <v>624</v>
      </c>
      <c r="C2558" s="709"/>
      <c r="D2558" s="709"/>
      <c r="E2558" s="709"/>
      <c r="F2558" s="709"/>
      <c r="G2558" s="709"/>
      <c r="H2558" s="709"/>
    </row>
    <row r="2559" spans="1:8" ht="15.75">
      <c r="A2559" s="608" t="s">
        <v>74</v>
      </c>
      <c r="B2559" s="609" t="s">
        <v>625</v>
      </c>
      <c r="C2559" s="610" t="s">
        <v>379</v>
      </c>
      <c r="D2559" s="610" t="s">
        <v>379</v>
      </c>
      <c r="E2559" s="610" t="s">
        <v>379</v>
      </c>
      <c r="F2559" s="610" t="s">
        <v>379</v>
      </c>
      <c r="G2559" s="610" t="s">
        <v>379</v>
      </c>
      <c r="H2559" s="611" t="s">
        <v>626</v>
      </c>
    </row>
    <row r="2560" spans="1:8" ht="15.75">
      <c r="A2560" s="608" t="s">
        <v>313</v>
      </c>
      <c r="B2560" s="609" t="s">
        <v>627</v>
      </c>
      <c r="C2560" s="610" t="s">
        <v>379</v>
      </c>
      <c r="D2560" s="610" t="s">
        <v>379</v>
      </c>
      <c r="E2560" s="610" t="s">
        <v>379</v>
      </c>
      <c r="F2560" s="610" t="s">
        <v>379</v>
      </c>
      <c r="G2560" s="610" t="s">
        <v>379</v>
      </c>
      <c r="H2560" s="611" t="s">
        <v>626</v>
      </c>
    </row>
    <row r="2561" spans="1:8" ht="31.5">
      <c r="A2561" s="608" t="s">
        <v>315</v>
      </c>
      <c r="B2561" s="612" t="s">
        <v>628</v>
      </c>
      <c r="C2561" s="610" t="s">
        <v>379</v>
      </c>
      <c r="D2561" s="610" t="s">
        <v>379</v>
      </c>
      <c r="E2561" s="610" t="s">
        <v>379</v>
      </c>
      <c r="F2561" s="610" t="s">
        <v>379</v>
      </c>
      <c r="G2561" s="610" t="s">
        <v>379</v>
      </c>
      <c r="H2561" s="611" t="s">
        <v>626</v>
      </c>
    </row>
    <row r="2562" spans="1:8" ht="47.25">
      <c r="A2562" s="608" t="s">
        <v>317</v>
      </c>
      <c r="B2562" s="612" t="s">
        <v>629</v>
      </c>
      <c r="C2562" s="610" t="s">
        <v>379</v>
      </c>
      <c r="D2562" s="610" t="s">
        <v>379</v>
      </c>
      <c r="E2562" s="610" t="s">
        <v>379</v>
      </c>
      <c r="F2562" s="610" t="s">
        <v>379</v>
      </c>
      <c r="G2562" s="610" t="s">
        <v>379</v>
      </c>
      <c r="H2562" s="611" t="s">
        <v>626</v>
      </c>
    </row>
    <row r="2563" spans="1:8" ht="15.75">
      <c r="A2563" s="608" t="s">
        <v>630</v>
      </c>
      <c r="B2563" s="613" t="s">
        <v>631</v>
      </c>
      <c r="C2563" s="610" t="s">
        <v>379</v>
      </c>
      <c r="D2563" s="610" t="s">
        <v>379</v>
      </c>
      <c r="E2563" s="610" t="s">
        <v>379</v>
      </c>
      <c r="F2563" s="610" t="s">
        <v>379</v>
      </c>
      <c r="G2563" s="610" t="s">
        <v>379</v>
      </c>
      <c r="H2563" s="611" t="s">
        <v>626</v>
      </c>
    </row>
    <row r="2564" spans="1:8" ht="15.75">
      <c r="A2564" s="608" t="s">
        <v>632</v>
      </c>
      <c r="B2564" s="613" t="s">
        <v>633</v>
      </c>
      <c r="C2564" s="610" t="s">
        <v>379</v>
      </c>
      <c r="D2564" s="610" t="s">
        <v>379</v>
      </c>
      <c r="E2564" s="610" t="s">
        <v>379</v>
      </c>
      <c r="F2564" s="610" t="s">
        <v>379</v>
      </c>
      <c r="G2564" s="610" t="s">
        <v>379</v>
      </c>
      <c r="H2564" s="611" t="s">
        <v>626</v>
      </c>
    </row>
    <row r="2565" spans="1:8" ht="12.75" customHeight="1">
      <c r="A2565" s="608">
        <v>2</v>
      </c>
      <c r="B2565" s="706" t="s">
        <v>634</v>
      </c>
      <c r="C2565" s="706"/>
      <c r="D2565" s="706"/>
      <c r="E2565" s="706"/>
      <c r="F2565" s="706"/>
      <c r="G2565" s="706"/>
      <c r="H2565" s="706"/>
    </row>
    <row r="2566" spans="1:8" ht="31.5">
      <c r="A2566" s="608" t="s">
        <v>321</v>
      </c>
      <c r="B2566" s="612" t="s">
        <v>635</v>
      </c>
      <c r="C2566" s="610" t="s">
        <v>685</v>
      </c>
      <c r="D2566" s="610" t="s">
        <v>686</v>
      </c>
      <c r="E2566" s="610" t="s">
        <v>379</v>
      </c>
      <c r="F2566" s="610" t="s">
        <v>379</v>
      </c>
      <c r="G2566" s="614">
        <v>0</v>
      </c>
      <c r="H2566" s="611"/>
    </row>
    <row r="2567" spans="1:8" ht="47.25">
      <c r="A2567" s="608" t="s">
        <v>325</v>
      </c>
      <c r="B2567" s="612" t="s">
        <v>638</v>
      </c>
      <c r="C2567" s="610" t="s">
        <v>379</v>
      </c>
      <c r="D2567" s="610" t="s">
        <v>379</v>
      </c>
      <c r="E2567" s="610" t="s">
        <v>379</v>
      </c>
      <c r="F2567" s="610" t="s">
        <v>379</v>
      </c>
      <c r="G2567" s="610" t="s">
        <v>379</v>
      </c>
      <c r="H2567" s="611" t="s">
        <v>626</v>
      </c>
    </row>
    <row r="2568" spans="1:8" ht="31.5">
      <c r="A2568" s="608" t="s">
        <v>639</v>
      </c>
      <c r="B2568" s="612" t="s">
        <v>640</v>
      </c>
      <c r="C2568" s="610" t="s">
        <v>379</v>
      </c>
      <c r="D2568" s="610" t="s">
        <v>379</v>
      </c>
      <c r="E2568" s="610" t="s">
        <v>379</v>
      </c>
      <c r="F2568" s="610" t="s">
        <v>379</v>
      </c>
      <c r="G2568" s="610" t="s">
        <v>379</v>
      </c>
      <c r="H2568" s="611" t="s">
        <v>626</v>
      </c>
    </row>
    <row r="2569" spans="1:8" ht="12.75" customHeight="1">
      <c r="A2569" s="608">
        <v>3</v>
      </c>
      <c r="B2569" s="706" t="s">
        <v>674</v>
      </c>
      <c r="C2569" s="706"/>
      <c r="D2569" s="706"/>
      <c r="E2569" s="706"/>
      <c r="F2569" s="706"/>
      <c r="G2569" s="706"/>
      <c r="H2569" s="706"/>
    </row>
    <row r="2570" spans="1:8" ht="31.5">
      <c r="A2570" s="608" t="s">
        <v>378</v>
      </c>
      <c r="B2570" s="613" t="s">
        <v>642</v>
      </c>
      <c r="C2570" s="610" t="s">
        <v>379</v>
      </c>
      <c r="D2570" s="610" t="s">
        <v>379</v>
      </c>
      <c r="E2570" s="610" t="s">
        <v>379</v>
      </c>
      <c r="F2570" s="610" t="s">
        <v>379</v>
      </c>
      <c r="G2570" s="610" t="s">
        <v>379</v>
      </c>
      <c r="H2570" s="611" t="s">
        <v>626</v>
      </c>
    </row>
    <row r="2571" spans="1:8" ht="15.75">
      <c r="A2571" s="608" t="s">
        <v>643</v>
      </c>
      <c r="B2571" s="613" t="s">
        <v>644</v>
      </c>
      <c r="C2571" s="610" t="s">
        <v>685</v>
      </c>
      <c r="D2571" s="610" t="s">
        <v>687</v>
      </c>
      <c r="E2571" s="610" t="s">
        <v>379</v>
      </c>
      <c r="F2571" s="610" t="s">
        <v>379</v>
      </c>
      <c r="G2571" s="614">
        <v>0</v>
      </c>
      <c r="H2571" s="611"/>
    </row>
    <row r="2572" spans="1:8" ht="15.75">
      <c r="A2572" s="608" t="s">
        <v>380</v>
      </c>
      <c r="B2572" s="613" t="s">
        <v>646</v>
      </c>
      <c r="C2572" s="610" t="s">
        <v>688</v>
      </c>
      <c r="D2572" s="610" t="s">
        <v>689</v>
      </c>
      <c r="E2572" s="610" t="s">
        <v>379</v>
      </c>
      <c r="F2572" s="610" t="s">
        <v>379</v>
      </c>
      <c r="G2572" s="614">
        <v>0</v>
      </c>
      <c r="H2572" s="611"/>
    </row>
    <row r="2573" spans="1:8" ht="15.75">
      <c r="A2573" s="608" t="s">
        <v>649</v>
      </c>
      <c r="B2573" s="613" t="s">
        <v>650</v>
      </c>
      <c r="C2573" s="610" t="s">
        <v>690</v>
      </c>
      <c r="D2573" s="610" t="s">
        <v>691</v>
      </c>
      <c r="E2573" s="610" t="s">
        <v>379</v>
      </c>
      <c r="F2573" s="610" t="s">
        <v>379</v>
      </c>
      <c r="G2573" s="614">
        <v>0</v>
      </c>
      <c r="H2573" s="611"/>
    </row>
    <row r="2574" spans="1:8" ht="15.75">
      <c r="A2574" s="608" t="s">
        <v>653</v>
      </c>
      <c r="B2574" s="613" t="s">
        <v>654</v>
      </c>
      <c r="C2574" s="610" t="s">
        <v>692</v>
      </c>
      <c r="D2574" s="610" t="s">
        <v>686</v>
      </c>
      <c r="E2574" s="610" t="s">
        <v>379</v>
      </c>
      <c r="F2574" s="610" t="s">
        <v>379</v>
      </c>
      <c r="G2574" s="614">
        <v>0</v>
      </c>
      <c r="H2574" s="611"/>
    </row>
    <row r="2575" spans="1:8" ht="12.75" customHeight="1">
      <c r="A2575" s="608">
        <v>4</v>
      </c>
      <c r="B2575" s="706" t="s">
        <v>656</v>
      </c>
      <c r="C2575" s="706"/>
      <c r="D2575" s="706"/>
      <c r="E2575" s="706"/>
      <c r="F2575" s="706"/>
      <c r="G2575" s="706"/>
      <c r="H2575" s="706"/>
    </row>
    <row r="2576" spans="1:8" ht="31.5">
      <c r="A2576" s="608" t="s">
        <v>657</v>
      </c>
      <c r="B2576" s="612" t="s">
        <v>658</v>
      </c>
      <c r="C2576" s="610" t="s">
        <v>379</v>
      </c>
      <c r="D2576" s="610" t="s">
        <v>379</v>
      </c>
      <c r="E2576" s="610" t="s">
        <v>379</v>
      </c>
      <c r="F2576" s="610" t="s">
        <v>379</v>
      </c>
      <c r="G2576" s="610" t="s">
        <v>379</v>
      </c>
      <c r="H2576" s="611" t="s">
        <v>626</v>
      </c>
    </row>
    <row r="2577" spans="1:8" ht="47.25">
      <c r="A2577" s="608" t="s">
        <v>659</v>
      </c>
      <c r="B2577" s="612" t="s">
        <v>660</v>
      </c>
      <c r="C2577" s="610" t="s">
        <v>379</v>
      </c>
      <c r="D2577" s="610" t="s">
        <v>379</v>
      </c>
      <c r="E2577" s="610" t="s">
        <v>379</v>
      </c>
      <c r="F2577" s="610" t="s">
        <v>379</v>
      </c>
      <c r="G2577" s="610" t="s">
        <v>379</v>
      </c>
      <c r="H2577" s="611" t="s">
        <v>626</v>
      </c>
    </row>
    <row r="2578" spans="1:8" ht="31.5">
      <c r="A2578" s="608" t="s">
        <v>661</v>
      </c>
      <c r="B2578" s="613" t="s">
        <v>662</v>
      </c>
      <c r="C2578" s="610" t="s">
        <v>379</v>
      </c>
      <c r="D2578" s="610" t="s">
        <v>379</v>
      </c>
      <c r="E2578" s="610" t="s">
        <v>379</v>
      </c>
      <c r="F2578" s="610" t="s">
        <v>379</v>
      </c>
      <c r="G2578" s="610" t="s">
        <v>379</v>
      </c>
      <c r="H2578" s="611" t="s">
        <v>626</v>
      </c>
    </row>
    <row r="2579" spans="1:8" ht="31.5">
      <c r="A2579" s="615" t="s">
        <v>663</v>
      </c>
      <c r="B2579" s="616" t="s">
        <v>664</v>
      </c>
      <c r="C2579" s="617" t="s">
        <v>379</v>
      </c>
      <c r="D2579" s="617" t="s">
        <v>379</v>
      </c>
      <c r="E2579" s="617" t="s">
        <v>379</v>
      </c>
      <c r="F2579" s="617" t="s">
        <v>379</v>
      </c>
      <c r="G2579" s="617" t="s">
        <v>379</v>
      </c>
      <c r="H2579" s="618" t="s">
        <v>626</v>
      </c>
    </row>
    <row r="2580" spans="1:8" ht="15.75">
      <c r="A2580" s="619"/>
      <c r="B2580" s="620"/>
      <c r="C2580" s="621"/>
      <c r="D2580" s="621"/>
      <c r="E2580" s="621"/>
      <c r="F2580" s="621"/>
      <c r="G2580" s="621"/>
      <c r="H2580" s="148"/>
    </row>
    <row r="2581" spans="1:8" ht="12.75" customHeight="1">
      <c r="A2581" s="707" t="s">
        <v>665</v>
      </c>
      <c r="B2581" s="707"/>
      <c r="C2581" s="707"/>
      <c r="D2581" s="707"/>
      <c r="E2581" s="707"/>
      <c r="F2581" s="707"/>
      <c r="G2581" s="707"/>
      <c r="H2581" s="707"/>
    </row>
    <row r="2587" ht="15.75">
      <c r="H2587" s="11" t="s">
        <v>609</v>
      </c>
    </row>
    <row r="2588" ht="15.75">
      <c r="H2588" s="11" t="s">
        <v>610</v>
      </c>
    </row>
    <row r="2589" ht="15.75">
      <c r="H2589" s="11" t="s">
        <v>611</v>
      </c>
    </row>
    <row r="2590" ht="15.75">
      <c r="H2590" s="11"/>
    </row>
    <row r="2591" spans="1:8" ht="12.75" customHeight="1">
      <c r="A2591" s="713" t="s">
        <v>612</v>
      </c>
      <c r="B2591" s="713"/>
      <c r="C2591" s="713"/>
      <c r="D2591" s="713"/>
      <c r="E2591" s="713"/>
      <c r="F2591" s="713"/>
      <c r="G2591" s="713"/>
      <c r="H2591" s="713"/>
    </row>
    <row r="2592" spans="1:8" ht="12.75" customHeight="1">
      <c r="A2592" s="713" t="s">
        <v>613</v>
      </c>
      <c r="B2592" s="713"/>
      <c r="C2592" s="713"/>
      <c r="D2592" s="713"/>
      <c r="E2592" s="713"/>
      <c r="F2592" s="713"/>
      <c r="G2592" s="713"/>
      <c r="H2592" s="713"/>
    </row>
    <row r="2593" ht="15.75">
      <c r="H2593" s="11" t="s">
        <v>43</v>
      </c>
    </row>
    <row r="2594" ht="15.75">
      <c r="H2594" s="11" t="s">
        <v>44</v>
      </c>
    </row>
    <row r="2595" ht="15.75">
      <c r="H2595" s="11" t="s">
        <v>45</v>
      </c>
    </row>
    <row r="2596" ht="15.75">
      <c r="H2596" s="594" t="s">
        <v>614</v>
      </c>
    </row>
    <row r="2597" ht="15.75">
      <c r="H2597" s="11" t="s">
        <v>615</v>
      </c>
    </row>
    <row r="2598" ht="15.75">
      <c r="H2598" s="11" t="s">
        <v>47</v>
      </c>
    </row>
    <row r="2599" ht="15.75">
      <c r="A2599" s="595"/>
    </row>
    <row r="2600" ht="15.75">
      <c r="A2600" s="3" t="s">
        <v>787</v>
      </c>
    </row>
    <row r="2601" spans="1:8" ht="12.75" customHeight="1">
      <c r="A2601" s="717" t="s">
        <v>0</v>
      </c>
      <c r="B2601" s="714"/>
      <c r="C2601" s="714"/>
      <c r="D2601" s="714"/>
      <c r="E2601" s="714"/>
      <c r="F2601" s="714"/>
      <c r="G2601" s="714"/>
      <c r="H2601" s="714"/>
    </row>
    <row r="2602" spans="1:8" ht="16.5" thickBot="1">
      <c r="A2602" s="597"/>
      <c r="B2602" s="597"/>
      <c r="C2602" s="598"/>
      <c r="D2602" s="598"/>
      <c r="E2602" s="598"/>
      <c r="F2602" s="598"/>
      <c r="G2602" s="598"/>
      <c r="H2602" s="598"/>
    </row>
    <row r="2603" spans="1:8" ht="12.75" customHeight="1">
      <c r="A2603" s="708" t="s">
        <v>617</v>
      </c>
      <c r="B2603" s="710" t="s">
        <v>618</v>
      </c>
      <c r="C2603" s="711" t="s">
        <v>619</v>
      </c>
      <c r="D2603" s="711"/>
      <c r="E2603" s="711"/>
      <c r="F2603" s="711"/>
      <c r="G2603" s="712" t="s">
        <v>620</v>
      </c>
      <c r="H2603" s="708" t="s">
        <v>621</v>
      </c>
    </row>
    <row r="2604" spans="1:8" ht="15.75">
      <c r="A2604" s="708"/>
      <c r="B2604" s="710"/>
      <c r="C2604" s="711"/>
      <c r="D2604" s="711"/>
      <c r="E2604" s="711"/>
      <c r="F2604" s="711"/>
      <c r="G2604" s="712"/>
      <c r="H2604" s="708"/>
    </row>
    <row r="2605" spans="1:8" ht="31.5">
      <c r="A2605" s="708"/>
      <c r="B2605" s="710"/>
      <c r="C2605" s="601" t="s">
        <v>622</v>
      </c>
      <c r="D2605" s="601" t="s">
        <v>623</v>
      </c>
      <c r="E2605" s="602" t="s">
        <v>622</v>
      </c>
      <c r="F2605" s="603" t="s">
        <v>623</v>
      </c>
      <c r="G2605" s="712"/>
      <c r="H2605" s="708"/>
    </row>
    <row r="2606" spans="1:8" ht="15.75">
      <c r="A2606" s="599">
        <v>1</v>
      </c>
      <c r="B2606" s="599">
        <v>2</v>
      </c>
      <c r="C2606" s="604">
        <v>3</v>
      </c>
      <c r="D2606" s="604">
        <v>4</v>
      </c>
      <c r="E2606" s="605"/>
      <c r="F2606" s="606"/>
      <c r="G2606" s="600">
        <v>5</v>
      </c>
      <c r="H2606" s="599">
        <v>6</v>
      </c>
    </row>
    <row r="2607" spans="1:8" ht="12.75" customHeight="1">
      <c r="A2607" s="607">
        <v>1</v>
      </c>
      <c r="B2607" s="709" t="s">
        <v>624</v>
      </c>
      <c r="C2607" s="709"/>
      <c r="D2607" s="709"/>
      <c r="E2607" s="709"/>
      <c r="F2607" s="709"/>
      <c r="G2607" s="709"/>
      <c r="H2607" s="709"/>
    </row>
    <row r="2608" spans="1:8" ht="15.75">
      <c r="A2608" s="608" t="s">
        <v>74</v>
      </c>
      <c r="B2608" s="609" t="s">
        <v>625</v>
      </c>
      <c r="C2608" s="610" t="s">
        <v>379</v>
      </c>
      <c r="D2608" s="610" t="s">
        <v>379</v>
      </c>
      <c r="E2608" s="610" t="s">
        <v>379</v>
      </c>
      <c r="F2608" s="610" t="s">
        <v>379</v>
      </c>
      <c r="G2608" s="610" t="s">
        <v>379</v>
      </c>
      <c r="H2608" s="611" t="s">
        <v>626</v>
      </c>
    </row>
    <row r="2609" spans="1:8" ht="15.75">
      <c r="A2609" s="608" t="s">
        <v>313</v>
      </c>
      <c r="B2609" s="609" t="s">
        <v>627</v>
      </c>
      <c r="C2609" s="610" t="s">
        <v>379</v>
      </c>
      <c r="D2609" s="610" t="s">
        <v>379</v>
      </c>
      <c r="E2609" s="610" t="s">
        <v>379</v>
      </c>
      <c r="F2609" s="610" t="s">
        <v>379</v>
      </c>
      <c r="G2609" s="610" t="s">
        <v>379</v>
      </c>
      <c r="H2609" s="611" t="s">
        <v>626</v>
      </c>
    </row>
    <row r="2610" spans="1:8" ht="31.5">
      <c r="A2610" s="608" t="s">
        <v>315</v>
      </c>
      <c r="B2610" s="612" t="s">
        <v>628</v>
      </c>
      <c r="C2610" s="610" t="s">
        <v>379</v>
      </c>
      <c r="D2610" s="610" t="s">
        <v>379</v>
      </c>
      <c r="E2610" s="610" t="s">
        <v>379</v>
      </c>
      <c r="F2610" s="610" t="s">
        <v>379</v>
      </c>
      <c r="G2610" s="610" t="s">
        <v>379</v>
      </c>
      <c r="H2610" s="611" t="s">
        <v>626</v>
      </c>
    </row>
    <row r="2611" spans="1:8" ht="47.25">
      <c r="A2611" s="608" t="s">
        <v>317</v>
      </c>
      <c r="B2611" s="612" t="s">
        <v>629</v>
      </c>
      <c r="C2611" s="610" t="s">
        <v>379</v>
      </c>
      <c r="D2611" s="610" t="s">
        <v>379</v>
      </c>
      <c r="E2611" s="610" t="s">
        <v>379</v>
      </c>
      <c r="F2611" s="610" t="s">
        <v>379</v>
      </c>
      <c r="G2611" s="610" t="s">
        <v>379</v>
      </c>
      <c r="H2611" s="611" t="s">
        <v>626</v>
      </c>
    </row>
    <row r="2612" spans="1:8" ht="15.75">
      <c r="A2612" s="608" t="s">
        <v>630</v>
      </c>
      <c r="B2612" s="613" t="s">
        <v>631</v>
      </c>
      <c r="C2612" s="610" t="s">
        <v>379</v>
      </c>
      <c r="D2612" s="610" t="s">
        <v>379</v>
      </c>
      <c r="E2612" s="610" t="s">
        <v>379</v>
      </c>
      <c r="F2612" s="610" t="s">
        <v>379</v>
      </c>
      <c r="G2612" s="610" t="s">
        <v>379</v>
      </c>
      <c r="H2612" s="611" t="s">
        <v>626</v>
      </c>
    </row>
    <row r="2613" spans="1:8" ht="15.75">
      <c r="A2613" s="608" t="s">
        <v>632</v>
      </c>
      <c r="B2613" s="613" t="s">
        <v>633</v>
      </c>
      <c r="C2613" s="610" t="s">
        <v>379</v>
      </c>
      <c r="D2613" s="610" t="s">
        <v>379</v>
      </c>
      <c r="E2613" s="610" t="s">
        <v>379</v>
      </c>
      <c r="F2613" s="610" t="s">
        <v>379</v>
      </c>
      <c r="G2613" s="610" t="s">
        <v>379</v>
      </c>
      <c r="H2613" s="611" t="s">
        <v>626</v>
      </c>
    </row>
    <row r="2614" spans="1:8" ht="12.75" customHeight="1">
      <c r="A2614" s="608">
        <v>2</v>
      </c>
      <c r="B2614" s="706" t="s">
        <v>634</v>
      </c>
      <c r="C2614" s="706"/>
      <c r="D2614" s="706"/>
      <c r="E2614" s="706"/>
      <c r="F2614" s="706"/>
      <c r="G2614" s="706"/>
      <c r="H2614" s="706"/>
    </row>
    <row r="2615" spans="1:8" ht="31.5">
      <c r="A2615" s="608" t="s">
        <v>321</v>
      </c>
      <c r="B2615" s="612" t="s">
        <v>635</v>
      </c>
      <c r="C2615" s="610" t="s">
        <v>685</v>
      </c>
      <c r="D2615" s="610" t="s">
        <v>686</v>
      </c>
      <c r="E2615" s="610" t="s">
        <v>379</v>
      </c>
      <c r="F2615" s="610" t="s">
        <v>379</v>
      </c>
      <c r="G2615" s="614">
        <v>0</v>
      </c>
      <c r="H2615" s="611"/>
    </row>
    <row r="2616" spans="1:8" ht="47.25">
      <c r="A2616" s="608" t="s">
        <v>325</v>
      </c>
      <c r="B2616" s="612" t="s">
        <v>638</v>
      </c>
      <c r="C2616" s="610" t="s">
        <v>379</v>
      </c>
      <c r="D2616" s="610" t="s">
        <v>379</v>
      </c>
      <c r="E2616" s="610" t="s">
        <v>379</v>
      </c>
      <c r="F2616" s="610" t="s">
        <v>379</v>
      </c>
      <c r="G2616" s="610" t="s">
        <v>379</v>
      </c>
      <c r="H2616" s="611" t="s">
        <v>626</v>
      </c>
    </row>
    <row r="2617" spans="1:8" ht="31.5">
      <c r="A2617" s="608" t="s">
        <v>639</v>
      </c>
      <c r="B2617" s="612" t="s">
        <v>640</v>
      </c>
      <c r="C2617" s="610" t="s">
        <v>379</v>
      </c>
      <c r="D2617" s="610" t="s">
        <v>379</v>
      </c>
      <c r="E2617" s="610" t="s">
        <v>379</v>
      </c>
      <c r="F2617" s="610" t="s">
        <v>379</v>
      </c>
      <c r="G2617" s="610" t="s">
        <v>379</v>
      </c>
      <c r="H2617" s="611" t="s">
        <v>626</v>
      </c>
    </row>
    <row r="2618" spans="1:8" ht="12.75" customHeight="1">
      <c r="A2618" s="608">
        <v>3</v>
      </c>
      <c r="B2618" s="706" t="s">
        <v>674</v>
      </c>
      <c r="C2618" s="706"/>
      <c r="D2618" s="706"/>
      <c r="E2618" s="706"/>
      <c r="F2618" s="706"/>
      <c r="G2618" s="706"/>
      <c r="H2618" s="706"/>
    </row>
    <row r="2619" spans="1:8" ht="31.5">
      <c r="A2619" s="608" t="s">
        <v>378</v>
      </c>
      <c r="B2619" s="613" t="s">
        <v>642</v>
      </c>
      <c r="C2619" s="610" t="s">
        <v>379</v>
      </c>
      <c r="D2619" s="610" t="s">
        <v>379</v>
      </c>
      <c r="E2619" s="610" t="s">
        <v>379</v>
      </c>
      <c r="F2619" s="610" t="s">
        <v>379</v>
      </c>
      <c r="G2619" s="610" t="s">
        <v>379</v>
      </c>
      <c r="H2619" s="611" t="s">
        <v>626</v>
      </c>
    </row>
    <row r="2620" spans="1:8" ht="15.75">
      <c r="A2620" s="608" t="s">
        <v>643</v>
      </c>
      <c r="B2620" s="613" t="s">
        <v>644</v>
      </c>
      <c r="C2620" s="610" t="s">
        <v>685</v>
      </c>
      <c r="D2620" s="610" t="s">
        <v>687</v>
      </c>
      <c r="E2620" s="610" t="s">
        <v>379</v>
      </c>
      <c r="F2620" s="610" t="s">
        <v>379</v>
      </c>
      <c r="G2620" s="614">
        <v>0</v>
      </c>
      <c r="H2620" s="611"/>
    </row>
    <row r="2621" spans="1:8" ht="15.75">
      <c r="A2621" s="608" t="s">
        <v>380</v>
      </c>
      <c r="B2621" s="613" t="s">
        <v>646</v>
      </c>
      <c r="C2621" s="610" t="s">
        <v>688</v>
      </c>
      <c r="D2621" s="610" t="s">
        <v>689</v>
      </c>
      <c r="E2621" s="610" t="s">
        <v>379</v>
      </c>
      <c r="F2621" s="610" t="s">
        <v>379</v>
      </c>
      <c r="G2621" s="614">
        <v>0</v>
      </c>
      <c r="H2621" s="611"/>
    </row>
    <row r="2622" spans="1:8" ht="15.75">
      <c r="A2622" s="608" t="s">
        <v>649</v>
      </c>
      <c r="B2622" s="613" t="s">
        <v>650</v>
      </c>
      <c r="C2622" s="610" t="s">
        <v>690</v>
      </c>
      <c r="D2622" s="610" t="s">
        <v>691</v>
      </c>
      <c r="E2622" s="610" t="s">
        <v>379</v>
      </c>
      <c r="F2622" s="610" t="s">
        <v>379</v>
      </c>
      <c r="G2622" s="614">
        <v>0</v>
      </c>
      <c r="H2622" s="611"/>
    </row>
    <row r="2623" spans="1:8" ht="15.75">
      <c r="A2623" s="608" t="s">
        <v>653</v>
      </c>
      <c r="B2623" s="613" t="s">
        <v>654</v>
      </c>
      <c r="C2623" s="610" t="s">
        <v>692</v>
      </c>
      <c r="D2623" s="610" t="s">
        <v>686</v>
      </c>
      <c r="E2623" s="610" t="s">
        <v>379</v>
      </c>
      <c r="F2623" s="610" t="s">
        <v>379</v>
      </c>
      <c r="G2623" s="614">
        <v>0</v>
      </c>
      <c r="H2623" s="611"/>
    </row>
    <row r="2624" spans="1:8" ht="12.75" customHeight="1">
      <c r="A2624" s="608">
        <v>4</v>
      </c>
      <c r="B2624" s="706" t="s">
        <v>656</v>
      </c>
      <c r="C2624" s="706"/>
      <c r="D2624" s="706"/>
      <c r="E2624" s="706"/>
      <c r="F2624" s="706"/>
      <c r="G2624" s="706"/>
      <c r="H2624" s="706"/>
    </row>
    <row r="2625" spans="1:8" ht="31.5">
      <c r="A2625" s="608" t="s">
        <v>657</v>
      </c>
      <c r="B2625" s="612" t="s">
        <v>658</v>
      </c>
      <c r="C2625" s="610" t="s">
        <v>379</v>
      </c>
      <c r="D2625" s="610" t="s">
        <v>379</v>
      </c>
      <c r="E2625" s="610" t="s">
        <v>379</v>
      </c>
      <c r="F2625" s="610" t="s">
        <v>379</v>
      </c>
      <c r="G2625" s="610" t="s">
        <v>379</v>
      </c>
      <c r="H2625" s="611" t="s">
        <v>626</v>
      </c>
    </row>
    <row r="2626" spans="1:8" ht="47.25">
      <c r="A2626" s="608" t="s">
        <v>659</v>
      </c>
      <c r="B2626" s="612" t="s">
        <v>660</v>
      </c>
      <c r="C2626" s="610" t="s">
        <v>379</v>
      </c>
      <c r="D2626" s="610" t="s">
        <v>379</v>
      </c>
      <c r="E2626" s="610" t="s">
        <v>379</v>
      </c>
      <c r="F2626" s="610" t="s">
        <v>379</v>
      </c>
      <c r="G2626" s="610" t="s">
        <v>379</v>
      </c>
      <c r="H2626" s="611" t="s">
        <v>626</v>
      </c>
    </row>
    <row r="2627" spans="1:8" ht="31.5">
      <c r="A2627" s="608" t="s">
        <v>661</v>
      </c>
      <c r="B2627" s="613" t="s">
        <v>662</v>
      </c>
      <c r="C2627" s="610" t="s">
        <v>379</v>
      </c>
      <c r="D2627" s="610" t="s">
        <v>379</v>
      </c>
      <c r="E2627" s="610" t="s">
        <v>379</v>
      </c>
      <c r="F2627" s="610" t="s">
        <v>379</v>
      </c>
      <c r="G2627" s="610" t="s">
        <v>379</v>
      </c>
      <c r="H2627" s="611" t="s">
        <v>626</v>
      </c>
    </row>
    <row r="2628" spans="1:8" ht="31.5">
      <c r="A2628" s="615" t="s">
        <v>663</v>
      </c>
      <c r="B2628" s="616" t="s">
        <v>664</v>
      </c>
      <c r="C2628" s="617" t="s">
        <v>379</v>
      </c>
      <c r="D2628" s="617" t="s">
        <v>379</v>
      </c>
      <c r="E2628" s="617" t="s">
        <v>379</v>
      </c>
      <c r="F2628" s="617" t="s">
        <v>379</v>
      </c>
      <c r="G2628" s="617" t="s">
        <v>379</v>
      </c>
      <c r="H2628" s="618" t="s">
        <v>626</v>
      </c>
    </row>
    <row r="2629" spans="1:8" ht="15.75">
      <c r="A2629" s="619"/>
      <c r="B2629" s="620"/>
      <c r="C2629" s="621"/>
      <c r="D2629" s="621"/>
      <c r="E2629" s="621"/>
      <c r="F2629" s="621"/>
      <c r="G2629" s="621"/>
      <c r="H2629" s="148"/>
    </row>
    <row r="2630" spans="1:8" ht="12.75" customHeight="1">
      <c r="A2630" s="707" t="s">
        <v>665</v>
      </c>
      <c r="B2630" s="707"/>
      <c r="C2630" s="707"/>
      <c r="D2630" s="707"/>
      <c r="E2630" s="707"/>
      <c r="F2630" s="707"/>
      <c r="G2630" s="707"/>
      <c r="H2630" s="707"/>
    </row>
    <row r="2634" ht="15.75">
      <c r="H2634" s="11" t="s">
        <v>609</v>
      </c>
    </row>
    <row r="2635" ht="15.75">
      <c r="H2635" s="11" t="s">
        <v>610</v>
      </c>
    </row>
    <row r="2636" ht="15.75">
      <c r="H2636" s="11" t="s">
        <v>611</v>
      </c>
    </row>
    <row r="2637" ht="15.75">
      <c r="H2637" s="11"/>
    </row>
    <row r="2638" spans="1:8" ht="12.75" customHeight="1">
      <c r="A2638" s="713" t="s">
        <v>612</v>
      </c>
      <c r="B2638" s="713"/>
      <c r="C2638" s="713"/>
      <c r="D2638" s="713"/>
      <c r="E2638" s="713"/>
      <c r="F2638" s="713"/>
      <c r="G2638" s="713"/>
      <c r="H2638" s="713"/>
    </row>
    <row r="2639" spans="1:8" ht="12.75" customHeight="1">
      <c r="A2639" s="713" t="s">
        <v>613</v>
      </c>
      <c r="B2639" s="713"/>
      <c r="C2639" s="713"/>
      <c r="D2639" s="713"/>
      <c r="E2639" s="713"/>
      <c r="F2639" s="713"/>
      <c r="G2639" s="713"/>
      <c r="H2639" s="713"/>
    </row>
    <row r="2640" ht="15.75">
      <c r="H2640" s="11" t="s">
        <v>43</v>
      </c>
    </row>
    <row r="2641" ht="15.75">
      <c r="H2641" s="11" t="s">
        <v>44</v>
      </c>
    </row>
    <row r="2642" ht="15.75">
      <c r="H2642" s="11" t="s">
        <v>45</v>
      </c>
    </row>
    <row r="2643" ht="15.75">
      <c r="H2643" s="594" t="s">
        <v>614</v>
      </c>
    </row>
    <row r="2644" ht="15.75">
      <c r="H2644" s="11" t="s">
        <v>615</v>
      </c>
    </row>
    <row r="2645" ht="15.75">
      <c r="H2645" s="11" t="s">
        <v>47</v>
      </c>
    </row>
    <row r="2646" ht="15.75">
      <c r="A2646" s="595"/>
    </row>
    <row r="2647" ht="15.75">
      <c r="A2647" s="3" t="s">
        <v>788</v>
      </c>
    </row>
    <row r="2648" spans="1:8" ht="12.75" customHeight="1">
      <c r="A2648" s="717" t="s">
        <v>0</v>
      </c>
      <c r="B2648" s="714"/>
      <c r="C2648" s="714"/>
      <c r="D2648" s="714"/>
      <c r="E2648" s="714"/>
      <c r="F2648" s="714"/>
      <c r="G2648" s="714"/>
      <c r="H2648" s="714"/>
    </row>
    <row r="2649" spans="1:8" ht="16.5" thickBot="1">
      <c r="A2649" s="597"/>
      <c r="B2649" s="597"/>
      <c r="C2649" s="598"/>
      <c r="D2649" s="598"/>
      <c r="E2649" s="598"/>
      <c r="F2649" s="598"/>
      <c r="G2649" s="598"/>
      <c r="H2649" s="598"/>
    </row>
    <row r="2650" spans="1:8" ht="12.75" customHeight="1">
      <c r="A2650" s="708" t="s">
        <v>617</v>
      </c>
      <c r="B2650" s="710" t="s">
        <v>618</v>
      </c>
      <c r="C2650" s="711" t="s">
        <v>619</v>
      </c>
      <c r="D2650" s="711"/>
      <c r="E2650" s="711"/>
      <c r="F2650" s="711"/>
      <c r="G2650" s="712" t="s">
        <v>620</v>
      </c>
      <c r="H2650" s="708" t="s">
        <v>621</v>
      </c>
    </row>
    <row r="2651" spans="1:8" ht="15.75">
      <c r="A2651" s="708"/>
      <c r="B2651" s="710"/>
      <c r="C2651" s="711"/>
      <c r="D2651" s="711"/>
      <c r="E2651" s="711"/>
      <c r="F2651" s="711"/>
      <c r="G2651" s="712"/>
      <c r="H2651" s="708"/>
    </row>
    <row r="2652" spans="1:8" ht="31.5">
      <c r="A2652" s="708"/>
      <c r="B2652" s="710"/>
      <c r="C2652" s="601" t="s">
        <v>622</v>
      </c>
      <c r="D2652" s="601" t="s">
        <v>623</v>
      </c>
      <c r="E2652" s="602" t="s">
        <v>622</v>
      </c>
      <c r="F2652" s="603" t="s">
        <v>623</v>
      </c>
      <c r="G2652" s="712"/>
      <c r="H2652" s="708"/>
    </row>
    <row r="2653" spans="1:8" ht="15.75">
      <c r="A2653" s="599">
        <v>1</v>
      </c>
      <c r="B2653" s="599">
        <v>2</v>
      </c>
      <c r="C2653" s="604">
        <v>3</v>
      </c>
      <c r="D2653" s="604">
        <v>4</v>
      </c>
      <c r="E2653" s="605"/>
      <c r="F2653" s="606"/>
      <c r="G2653" s="600">
        <v>5</v>
      </c>
      <c r="H2653" s="599">
        <v>6</v>
      </c>
    </row>
    <row r="2654" spans="1:8" ht="12.75" customHeight="1">
      <c r="A2654" s="607">
        <v>1</v>
      </c>
      <c r="B2654" s="709" t="s">
        <v>624</v>
      </c>
      <c r="C2654" s="709"/>
      <c r="D2654" s="709"/>
      <c r="E2654" s="709"/>
      <c r="F2654" s="709"/>
      <c r="G2654" s="709"/>
      <c r="H2654" s="709"/>
    </row>
    <row r="2655" spans="1:8" ht="15.75">
      <c r="A2655" s="608" t="s">
        <v>74</v>
      </c>
      <c r="B2655" s="609" t="s">
        <v>625</v>
      </c>
      <c r="C2655" s="610" t="s">
        <v>379</v>
      </c>
      <c r="D2655" s="610" t="s">
        <v>379</v>
      </c>
      <c r="E2655" s="610" t="s">
        <v>379</v>
      </c>
      <c r="F2655" s="610" t="s">
        <v>379</v>
      </c>
      <c r="G2655" s="610" t="s">
        <v>379</v>
      </c>
      <c r="H2655" s="611" t="s">
        <v>626</v>
      </c>
    </row>
    <row r="2656" spans="1:8" ht="15.75">
      <c r="A2656" s="608" t="s">
        <v>313</v>
      </c>
      <c r="B2656" s="609" t="s">
        <v>627</v>
      </c>
      <c r="C2656" s="610" t="s">
        <v>379</v>
      </c>
      <c r="D2656" s="610" t="s">
        <v>379</v>
      </c>
      <c r="E2656" s="610" t="s">
        <v>379</v>
      </c>
      <c r="F2656" s="610" t="s">
        <v>379</v>
      </c>
      <c r="G2656" s="610" t="s">
        <v>379</v>
      </c>
      <c r="H2656" s="611" t="s">
        <v>626</v>
      </c>
    </row>
    <row r="2657" spans="1:8" ht="31.5">
      <c r="A2657" s="608" t="s">
        <v>315</v>
      </c>
      <c r="B2657" s="612" t="s">
        <v>628</v>
      </c>
      <c r="C2657" s="610" t="s">
        <v>379</v>
      </c>
      <c r="D2657" s="610" t="s">
        <v>379</v>
      </c>
      <c r="E2657" s="610" t="s">
        <v>379</v>
      </c>
      <c r="F2657" s="610" t="s">
        <v>379</v>
      </c>
      <c r="G2657" s="610" t="s">
        <v>379</v>
      </c>
      <c r="H2657" s="611" t="s">
        <v>626</v>
      </c>
    </row>
    <row r="2658" spans="1:8" ht="47.25">
      <c r="A2658" s="608" t="s">
        <v>317</v>
      </c>
      <c r="B2658" s="612" t="s">
        <v>629</v>
      </c>
      <c r="C2658" s="610" t="s">
        <v>379</v>
      </c>
      <c r="D2658" s="610" t="s">
        <v>379</v>
      </c>
      <c r="E2658" s="610" t="s">
        <v>379</v>
      </c>
      <c r="F2658" s="610" t="s">
        <v>379</v>
      </c>
      <c r="G2658" s="610" t="s">
        <v>379</v>
      </c>
      <c r="H2658" s="611" t="s">
        <v>626</v>
      </c>
    </row>
    <row r="2659" spans="1:8" ht="15.75">
      <c r="A2659" s="608" t="s">
        <v>630</v>
      </c>
      <c r="B2659" s="613" t="s">
        <v>631</v>
      </c>
      <c r="C2659" s="610" t="s">
        <v>379</v>
      </c>
      <c r="D2659" s="610" t="s">
        <v>379</v>
      </c>
      <c r="E2659" s="610" t="s">
        <v>379</v>
      </c>
      <c r="F2659" s="610" t="s">
        <v>379</v>
      </c>
      <c r="G2659" s="610" t="s">
        <v>379</v>
      </c>
      <c r="H2659" s="611" t="s">
        <v>626</v>
      </c>
    </row>
    <row r="2660" spans="1:8" ht="15.75">
      <c r="A2660" s="608" t="s">
        <v>632</v>
      </c>
      <c r="B2660" s="613" t="s">
        <v>633</v>
      </c>
      <c r="C2660" s="610" t="s">
        <v>379</v>
      </c>
      <c r="D2660" s="610" t="s">
        <v>379</v>
      </c>
      <c r="E2660" s="610" t="s">
        <v>379</v>
      </c>
      <c r="F2660" s="610" t="s">
        <v>379</v>
      </c>
      <c r="G2660" s="610" t="s">
        <v>379</v>
      </c>
      <c r="H2660" s="611" t="s">
        <v>626</v>
      </c>
    </row>
    <row r="2661" spans="1:8" ht="12.75" customHeight="1">
      <c r="A2661" s="608">
        <v>2</v>
      </c>
      <c r="B2661" s="706" t="s">
        <v>634</v>
      </c>
      <c r="C2661" s="706"/>
      <c r="D2661" s="706"/>
      <c r="E2661" s="706"/>
      <c r="F2661" s="706"/>
      <c r="G2661" s="706"/>
      <c r="H2661" s="706"/>
    </row>
    <row r="2662" spans="1:8" ht="31.5">
      <c r="A2662" s="608" t="s">
        <v>321</v>
      </c>
      <c r="B2662" s="612" t="s">
        <v>635</v>
      </c>
      <c r="C2662" s="610" t="s">
        <v>676</v>
      </c>
      <c r="D2662" s="610" t="s">
        <v>677</v>
      </c>
      <c r="E2662" s="610" t="s">
        <v>379</v>
      </c>
      <c r="F2662" s="610" t="s">
        <v>379</v>
      </c>
      <c r="G2662" s="614">
        <v>0</v>
      </c>
      <c r="H2662" s="611"/>
    </row>
    <row r="2663" spans="1:8" ht="47.25">
      <c r="A2663" s="608" t="s">
        <v>325</v>
      </c>
      <c r="B2663" s="612" t="s">
        <v>638</v>
      </c>
      <c r="C2663" s="610" t="s">
        <v>379</v>
      </c>
      <c r="D2663" s="610" t="s">
        <v>379</v>
      </c>
      <c r="E2663" s="610" t="s">
        <v>379</v>
      </c>
      <c r="F2663" s="610" t="s">
        <v>379</v>
      </c>
      <c r="G2663" s="610" t="s">
        <v>379</v>
      </c>
      <c r="H2663" s="611" t="s">
        <v>626</v>
      </c>
    </row>
    <row r="2664" spans="1:8" ht="31.5">
      <c r="A2664" s="608" t="s">
        <v>639</v>
      </c>
      <c r="B2664" s="612" t="s">
        <v>640</v>
      </c>
      <c r="C2664" s="610" t="s">
        <v>379</v>
      </c>
      <c r="D2664" s="610" t="s">
        <v>379</v>
      </c>
      <c r="E2664" s="610" t="s">
        <v>379</v>
      </c>
      <c r="F2664" s="610" t="s">
        <v>379</v>
      </c>
      <c r="G2664" s="610" t="s">
        <v>379</v>
      </c>
      <c r="H2664" s="611" t="s">
        <v>626</v>
      </c>
    </row>
    <row r="2665" spans="1:8" ht="12.75" customHeight="1">
      <c r="A2665" s="608">
        <v>3</v>
      </c>
      <c r="B2665" s="706" t="s">
        <v>641</v>
      </c>
      <c r="C2665" s="706"/>
      <c r="D2665" s="706"/>
      <c r="E2665" s="706"/>
      <c r="F2665" s="706"/>
      <c r="G2665" s="706"/>
      <c r="H2665" s="706"/>
    </row>
    <row r="2666" spans="1:8" ht="31.5">
      <c r="A2666" s="608" t="s">
        <v>378</v>
      </c>
      <c r="B2666" s="613" t="s">
        <v>642</v>
      </c>
      <c r="C2666" s="610" t="s">
        <v>379</v>
      </c>
      <c r="D2666" s="610" t="s">
        <v>379</v>
      </c>
      <c r="E2666" s="610" t="s">
        <v>379</v>
      </c>
      <c r="F2666" s="610" t="s">
        <v>379</v>
      </c>
      <c r="G2666" s="610" t="s">
        <v>379</v>
      </c>
      <c r="H2666" s="611" t="s">
        <v>626</v>
      </c>
    </row>
    <row r="2667" spans="1:8" ht="15.75">
      <c r="A2667" s="608" t="s">
        <v>643</v>
      </c>
      <c r="B2667" s="613" t="s">
        <v>644</v>
      </c>
      <c r="C2667" s="610" t="s">
        <v>676</v>
      </c>
      <c r="D2667" s="610" t="s">
        <v>678</v>
      </c>
      <c r="E2667" s="610" t="s">
        <v>379</v>
      </c>
      <c r="F2667" s="610" t="s">
        <v>379</v>
      </c>
      <c r="G2667" s="614">
        <v>0</v>
      </c>
      <c r="H2667" s="611"/>
    </row>
    <row r="2668" spans="1:8" ht="15.75">
      <c r="A2668" s="608" t="s">
        <v>380</v>
      </c>
      <c r="B2668" s="613" t="s">
        <v>646</v>
      </c>
      <c r="C2668" s="610" t="s">
        <v>679</v>
      </c>
      <c r="D2668" s="610" t="s">
        <v>680</v>
      </c>
      <c r="E2668" s="610" t="s">
        <v>379</v>
      </c>
      <c r="F2668" s="610" t="s">
        <v>379</v>
      </c>
      <c r="G2668" s="614">
        <v>0</v>
      </c>
      <c r="H2668" s="611"/>
    </row>
    <row r="2669" spans="1:8" ht="15.75">
      <c r="A2669" s="608" t="s">
        <v>649</v>
      </c>
      <c r="B2669" s="613" t="s">
        <v>650</v>
      </c>
      <c r="C2669" s="610" t="s">
        <v>681</v>
      </c>
      <c r="D2669" s="610" t="s">
        <v>682</v>
      </c>
      <c r="E2669" s="610" t="s">
        <v>379</v>
      </c>
      <c r="F2669" s="610" t="s">
        <v>379</v>
      </c>
      <c r="G2669" s="614">
        <v>0</v>
      </c>
      <c r="H2669" s="611"/>
    </row>
    <row r="2670" spans="1:8" ht="15.75">
      <c r="A2670" s="608" t="s">
        <v>653</v>
      </c>
      <c r="B2670" s="613" t="s">
        <v>654</v>
      </c>
      <c r="C2670" s="610" t="s">
        <v>682</v>
      </c>
      <c r="D2670" s="610" t="s">
        <v>677</v>
      </c>
      <c r="E2670" s="610" t="s">
        <v>379</v>
      </c>
      <c r="F2670" s="610" t="s">
        <v>379</v>
      </c>
      <c r="G2670" s="614">
        <v>0</v>
      </c>
      <c r="H2670" s="611"/>
    </row>
    <row r="2671" spans="1:8" ht="12.75" customHeight="1">
      <c r="A2671" s="608">
        <v>4</v>
      </c>
      <c r="B2671" s="706" t="s">
        <v>656</v>
      </c>
      <c r="C2671" s="706"/>
      <c r="D2671" s="706"/>
      <c r="E2671" s="706"/>
      <c r="F2671" s="706"/>
      <c r="G2671" s="706"/>
      <c r="H2671" s="706"/>
    </row>
    <row r="2672" spans="1:8" ht="31.5">
      <c r="A2672" s="608" t="s">
        <v>657</v>
      </c>
      <c r="B2672" s="612" t="s">
        <v>658</v>
      </c>
      <c r="C2672" s="610" t="s">
        <v>379</v>
      </c>
      <c r="D2672" s="610" t="s">
        <v>379</v>
      </c>
      <c r="E2672" s="610" t="s">
        <v>379</v>
      </c>
      <c r="F2672" s="610" t="s">
        <v>379</v>
      </c>
      <c r="G2672" s="610" t="s">
        <v>379</v>
      </c>
      <c r="H2672" s="611" t="s">
        <v>626</v>
      </c>
    </row>
    <row r="2673" spans="1:8" ht="47.25">
      <c r="A2673" s="608" t="s">
        <v>659</v>
      </c>
      <c r="B2673" s="612" t="s">
        <v>660</v>
      </c>
      <c r="C2673" s="610" t="s">
        <v>379</v>
      </c>
      <c r="D2673" s="610" t="s">
        <v>379</v>
      </c>
      <c r="E2673" s="610" t="s">
        <v>379</v>
      </c>
      <c r="F2673" s="610" t="s">
        <v>379</v>
      </c>
      <c r="G2673" s="610" t="s">
        <v>379</v>
      </c>
      <c r="H2673" s="611" t="s">
        <v>626</v>
      </c>
    </row>
    <row r="2674" spans="1:8" ht="31.5">
      <c r="A2674" s="608" t="s">
        <v>661</v>
      </c>
      <c r="B2674" s="613" t="s">
        <v>662</v>
      </c>
      <c r="C2674" s="610" t="s">
        <v>379</v>
      </c>
      <c r="D2674" s="610" t="s">
        <v>379</v>
      </c>
      <c r="E2674" s="610" t="s">
        <v>379</v>
      </c>
      <c r="F2674" s="610" t="s">
        <v>379</v>
      </c>
      <c r="G2674" s="610" t="s">
        <v>379</v>
      </c>
      <c r="H2674" s="611" t="s">
        <v>626</v>
      </c>
    </row>
    <row r="2675" spans="1:8" ht="31.5">
      <c r="A2675" s="615" t="s">
        <v>663</v>
      </c>
      <c r="B2675" s="616" t="s">
        <v>664</v>
      </c>
      <c r="C2675" s="617" t="s">
        <v>379</v>
      </c>
      <c r="D2675" s="617" t="s">
        <v>379</v>
      </c>
      <c r="E2675" s="617" t="s">
        <v>379</v>
      </c>
      <c r="F2675" s="617" t="s">
        <v>379</v>
      </c>
      <c r="G2675" s="617" t="s">
        <v>379</v>
      </c>
      <c r="H2675" s="618" t="s">
        <v>626</v>
      </c>
    </row>
    <row r="2676" spans="1:8" ht="15.75">
      <c r="A2676" s="619"/>
      <c r="B2676" s="620"/>
      <c r="C2676" s="621"/>
      <c r="D2676" s="621"/>
      <c r="E2676" s="621"/>
      <c r="F2676" s="621"/>
      <c r="G2676" s="621"/>
      <c r="H2676" s="148"/>
    </row>
    <row r="2677" spans="1:8" ht="12.75" customHeight="1">
      <c r="A2677" s="707" t="s">
        <v>665</v>
      </c>
      <c r="B2677" s="707"/>
      <c r="C2677" s="707"/>
      <c r="D2677" s="707"/>
      <c r="E2677" s="707"/>
      <c r="F2677" s="707"/>
      <c r="G2677" s="707"/>
      <c r="H2677" s="707"/>
    </row>
    <row r="2683" ht="15.75">
      <c r="H2683" s="11" t="s">
        <v>609</v>
      </c>
    </row>
    <row r="2684" ht="15.75">
      <c r="H2684" s="11" t="s">
        <v>610</v>
      </c>
    </row>
    <row r="2685" ht="15.75">
      <c r="H2685" s="11" t="s">
        <v>611</v>
      </c>
    </row>
    <row r="2686" ht="15.75">
      <c r="H2686" s="11"/>
    </row>
    <row r="2687" spans="1:8" ht="12.75" customHeight="1">
      <c r="A2687" s="713" t="s">
        <v>612</v>
      </c>
      <c r="B2687" s="713"/>
      <c r="C2687" s="713"/>
      <c r="D2687" s="713"/>
      <c r="E2687" s="713"/>
      <c r="F2687" s="713"/>
      <c r="G2687" s="713"/>
      <c r="H2687" s="713"/>
    </row>
    <row r="2688" spans="1:8" ht="12.75" customHeight="1">
      <c r="A2688" s="713" t="s">
        <v>613</v>
      </c>
      <c r="B2688" s="713"/>
      <c r="C2688" s="713"/>
      <c r="D2688" s="713"/>
      <c r="E2688" s="713"/>
      <c r="F2688" s="713"/>
      <c r="G2688" s="713"/>
      <c r="H2688" s="713"/>
    </row>
    <row r="2689" ht="15.75">
      <c r="H2689" s="11" t="s">
        <v>43</v>
      </c>
    </row>
    <row r="2690" ht="15.75">
      <c r="H2690" s="11" t="s">
        <v>44</v>
      </c>
    </row>
    <row r="2691" ht="15.75">
      <c r="H2691" s="11" t="s">
        <v>45</v>
      </c>
    </row>
    <row r="2692" ht="15.75">
      <c r="H2692" s="594" t="s">
        <v>614</v>
      </c>
    </row>
    <row r="2693" ht="15.75">
      <c r="H2693" s="11" t="s">
        <v>615</v>
      </c>
    </row>
    <row r="2694" ht="15.75">
      <c r="H2694" s="11" t="s">
        <v>47</v>
      </c>
    </row>
    <row r="2695" ht="15.75">
      <c r="A2695" s="595"/>
    </row>
    <row r="2696" ht="15.75">
      <c r="A2696" s="3" t="s">
        <v>789</v>
      </c>
    </row>
    <row r="2697" spans="1:8" ht="12.75" customHeight="1">
      <c r="A2697" s="717" t="s">
        <v>0</v>
      </c>
      <c r="B2697" s="714"/>
      <c r="C2697" s="714"/>
      <c r="D2697" s="714"/>
      <c r="E2697" s="714"/>
      <c r="F2697" s="714"/>
      <c r="G2697" s="714"/>
      <c r="H2697" s="714"/>
    </row>
    <row r="2698" spans="1:8" ht="16.5" thickBot="1">
      <c r="A2698" s="597"/>
      <c r="B2698" s="597"/>
      <c r="C2698" s="598"/>
      <c r="D2698" s="598"/>
      <c r="E2698" s="598"/>
      <c r="F2698" s="598"/>
      <c r="G2698" s="598"/>
      <c r="H2698" s="598"/>
    </row>
    <row r="2699" spans="1:8" ht="12.75" customHeight="1">
      <c r="A2699" s="708" t="s">
        <v>617</v>
      </c>
      <c r="B2699" s="710" t="s">
        <v>618</v>
      </c>
      <c r="C2699" s="711" t="s">
        <v>619</v>
      </c>
      <c r="D2699" s="711"/>
      <c r="E2699" s="711"/>
      <c r="F2699" s="711"/>
      <c r="G2699" s="712" t="s">
        <v>620</v>
      </c>
      <c r="H2699" s="708" t="s">
        <v>621</v>
      </c>
    </row>
    <row r="2700" spans="1:8" ht="15.75">
      <c r="A2700" s="708"/>
      <c r="B2700" s="710"/>
      <c r="C2700" s="711"/>
      <c r="D2700" s="711"/>
      <c r="E2700" s="711"/>
      <c r="F2700" s="711"/>
      <c r="G2700" s="712"/>
      <c r="H2700" s="708"/>
    </row>
    <row r="2701" spans="1:8" ht="31.5">
      <c r="A2701" s="708"/>
      <c r="B2701" s="710"/>
      <c r="C2701" s="601" t="s">
        <v>622</v>
      </c>
      <c r="D2701" s="601" t="s">
        <v>623</v>
      </c>
      <c r="E2701" s="602" t="s">
        <v>622</v>
      </c>
      <c r="F2701" s="603" t="s">
        <v>623</v>
      </c>
      <c r="G2701" s="712"/>
      <c r="H2701" s="708"/>
    </row>
    <row r="2702" spans="1:8" ht="15.75">
      <c r="A2702" s="599">
        <v>1</v>
      </c>
      <c r="B2702" s="599">
        <v>2</v>
      </c>
      <c r="C2702" s="604">
        <v>3</v>
      </c>
      <c r="D2702" s="604">
        <v>4</v>
      </c>
      <c r="E2702" s="605"/>
      <c r="F2702" s="606"/>
      <c r="G2702" s="600">
        <v>5</v>
      </c>
      <c r="H2702" s="599">
        <v>6</v>
      </c>
    </row>
    <row r="2703" spans="1:8" ht="12.75" customHeight="1">
      <c r="A2703" s="607">
        <v>1</v>
      </c>
      <c r="B2703" s="709" t="s">
        <v>624</v>
      </c>
      <c r="C2703" s="709"/>
      <c r="D2703" s="709"/>
      <c r="E2703" s="709"/>
      <c r="F2703" s="709"/>
      <c r="G2703" s="709"/>
      <c r="H2703" s="709"/>
    </row>
    <row r="2704" spans="1:8" ht="15.75">
      <c r="A2704" s="608" t="s">
        <v>74</v>
      </c>
      <c r="B2704" s="609" t="s">
        <v>625</v>
      </c>
      <c r="C2704" s="610" t="s">
        <v>379</v>
      </c>
      <c r="D2704" s="610" t="s">
        <v>379</v>
      </c>
      <c r="E2704" s="610" t="s">
        <v>379</v>
      </c>
      <c r="F2704" s="610" t="s">
        <v>379</v>
      </c>
      <c r="G2704" s="610" t="s">
        <v>379</v>
      </c>
      <c r="H2704" s="611" t="s">
        <v>626</v>
      </c>
    </row>
    <row r="2705" spans="1:8" ht="15.75">
      <c r="A2705" s="608" t="s">
        <v>313</v>
      </c>
      <c r="B2705" s="609" t="s">
        <v>627</v>
      </c>
      <c r="C2705" s="610" t="s">
        <v>379</v>
      </c>
      <c r="D2705" s="610" t="s">
        <v>379</v>
      </c>
      <c r="E2705" s="610" t="s">
        <v>379</v>
      </c>
      <c r="F2705" s="610" t="s">
        <v>379</v>
      </c>
      <c r="G2705" s="610" t="s">
        <v>379</v>
      </c>
      <c r="H2705" s="611" t="s">
        <v>626</v>
      </c>
    </row>
    <row r="2706" spans="1:8" ht="31.5">
      <c r="A2706" s="608" t="s">
        <v>315</v>
      </c>
      <c r="B2706" s="612" t="s">
        <v>628</v>
      </c>
      <c r="C2706" s="610" t="s">
        <v>379</v>
      </c>
      <c r="D2706" s="610" t="s">
        <v>379</v>
      </c>
      <c r="E2706" s="610" t="s">
        <v>379</v>
      </c>
      <c r="F2706" s="610" t="s">
        <v>379</v>
      </c>
      <c r="G2706" s="610" t="s">
        <v>379</v>
      </c>
      <c r="H2706" s="611" t="s">
        <v>626</v>
      </c>
    </row>
    <row r="2707" spans="1:8" ht="47.25">
      <c r="A2707" s="608" t="s">
        <v>317</v>
      </c>
      <c r="B2707" s="612" t="s">
        <v>629</v>
      </c>
      <c r="C2707" s="610" t="s">
        <v>379</v>
      </c>
      <c r="D2707" s="610" t="s">
        <v>379</v>
      </c>
      <c r="E2707" s="610" t="s">
        <v>379</v>
      </c>
      <c r="F2707" s="610" t="s">
        <v>379</v>
      </c>
      <c r="G2707" s="610" t="s">
        <v>379</v>
      </c>
      <c r="H2707" s="611" t="s">
        <v>626</v>
      </c>
    </row>
    <row r="2708" spans="1:8" ht="15.75">
      <c r="A2708" s="608" t="s">
        <v>630</v>
      </c>
      <c r="B2708" s="613" t="s">
        <v>631</v>
      </c>
      <c r="C2708" s="610" t="s">
        <v>379</v>
      </c>
      <c r="D2708" s="610" t="s">
        <v>379</v>
      </c>
      <c r="E2708" s="610" t="s">
        <v>379</v>
      </c>
      <c r="F2708" s="610" t="s">
        <v>379</v>
      </c>
      <c r="G2708" s="610" t="s">
        <v>379</v>
      </c>
      <c r="H2708" s="611" t="s">
        <v>626</v>
      </c>
    </row>
    <row r="2709" spans="1:8" ht="15.75">
      <c r="A2709" s="608" t="s">
        <v>632</v>
      </c>
      <c r="B2709" s="613" t="s">
        <v>633</v>
      </c>
      <c r="C2709" s="610" t="s">
        <v>379</v>
      </c>
      <c r="D2709" s="610" t="s">
        <v>379</v>
      </c>
      <c r="E2709" s="610" t="s">
        <v>379</v>
      </c>
      <c r="F2709" s="610" t="s">
        <v>379</v>
      </c>
      <c r="G2709" s="610" t="s">
        <v>379</v>
      </c>
      <c r="H2709" s="611" t="s">
        <v>626</v>
      </c>
    </row>
    <row r="2710" spans="1:8" ht="12.75" customHeight="1">
      <c r="A2710" s="608">
        <v>2</v>
      </c>
      <c r="B2710" s="706" t="s">
        <v>634</v>
      </c>
      <c r="C2710" s="706"/>
      <c r="D2710" s="706"/>
      <c r="E2710" s="706"/>
      <c r="F2710" s="706"/>
      <c r="G2710" s="706"/>
      <c r="H2710" s="706"/>
    </row>
    <row r="2711" spans="1:8" ht="31.5">
      <c r="A2711" s="608" t="s">
        <v>321</v>
      </c>
      <c r="B2711" s="612" t="s">
        <v>635</v>
      </c>
      <c r="C2711" s="610" t="s">
        <v>685</v>
      </c>
      <c r="D2711" s="610" t="s">
        <v>686</v>
      </c>
      <c r="E2711" s="610" t="s">
        <v>379</v>
      </c>
      <c r="F2711" s="610" t="s">
        <v>379</v>
      </c>
      <c r="G2711" s="614">
        <v>0</v>
      </c>
      <c r="H2711" s="611"/>
    </row>
    <row r="2712" spans="1:8" ht="47.25">
      <c r="A2712" s="608" t="s">
        <v>325</v>
      </c>
      <c r="B2712" s="612" t="s">
        <v>638</v>
      </c>
      <c r="C2712" s="610" t="s">
        <v>379</v>
      </c>
      <c r="D2712" s="610" t="s">
        <v>379</v>
      </c>
      <c r="E2712" s="610" t="s">
        <v>379</v>
      </c>
      <c r="F2712" s="610" t="s">
        <v>379</v>
      </c>
      <c r="G2712" s="610" t="s">
        <v>379</v>
      </c>
      <c r="H2712" s="611" t="s">
        <v>626</v>
      </c>
    </row>
    <row r="2713" spans="1:8" ht="31.5">
      <c r="A2713" s="608" t="s">
        <v>639</v>
      </c>
      <c r="B2713" s="612" t="s">
        <v>640</v>
      </c>
      <c r="C2713" s="610" t="s">
        <v>379</v>
      </c>
      <c r="D2713" s="610" t="s">
        <v>379</v>
      </c>
      <c r="E2713" s="610" t="s">
        <v>379</v>
      </c>
      <c r="F2713" s="610" t="s">
        <v>379</v>
      </c>
      <c r="G2713" s="610" t="s">
        <v>379</v>
      </c>
      <c r="H2713" s="611" t="s">
        <v>626</v>
      </c>
    </row>
    <row r="2714" spans="1:8" ht="12.75" customHeight="1">
      <c r="A2714" s="608">
        <v>3</v>
      </c>
      <c r="B2714" s="706" t="s">
        <v>641</v>
      </c>
      <c r="C2714" s="706"/>
      <c r="D2714" s="706"/>
      <c r="E2714" s="706"/>
      <c r="F2714" s="706"/>
      <c r="G2714" s="706"/>
      <c r="H2714" s="706"/>
    </row>
    <row r="2715" spans="1:8" ht="31.5">
      <c r="A2715" s="608" t="s">
        <v>378</v>
      </c>
      <c r="B2715" s="613" t="s">
        <v>642</v>
      </c>
      <c r="C2715" s="610" t="s">
        <v>379</v>
      </c>
      <c r="D2715" s="610" t="s">
        <v>379</v>
      </c>
      <c r="E2715" s="610" t="s">
        <v>379</v>
      </c>
      <c r="F2715" s="610" t="s">
        <v>379</v>
      </c>
      <c r="G2715" s="610" t="s">
        <v>379</v>
      </c>
      <c r="H2715" s="611" t="s">
        <v>626</v>
      </c>
    </row>
    <row r="2716" spans="1:8" ht="15.75">
      <c r="A2716" s="608" t="s">
        <v>643</v>
      </c>
      <c r="B2716" s="613" t="s">
        <v>644</v>
      </c>
      <c r="C2716" s="610" t="s">
        <v>685</v>
      </c>
      <c r="D2716" s="610" t="s">
        <v>687</v>
      </c>
      <c r="E2716" s="610" t="s">
        <v>379</v>
      </c>
      <c r="F2716" s="610" t="s">
        <v>379</v>
      </c>
      <c r="G2716" s="614">
        <v>0</v>
      </c>
      <c r="H2716" s="611"/>
    </row>
    <row r="2717" spans="1:8" ht="15.75">
      <c r="A2717" s="608" t="s">
        <v>380</v>
      </c>
      <c r="B2717" s="613" t="s">
        <v>646</v>
      </c>
      <c r="C2717" s="610" t="s">
        <v>688</v>
      </c>
      <c r="D2717" s="610" t="s">
        <v>689</v>
      </c>
      <c r="E2717" s="610" t="s">
        <v>379</v>
      </c>
      <c r="F2717" s="610" t="s">
        <v>379</v>
      </c>
      <c r="G2717" s="614">
        <v>0</v>
      </c>
      <c r="H2717" s="611"/>
    </row>
    <row r="2718" spans="1:8" ht="15.75">
      <c r="A2718" s="608" t="s">
        <v>649</v>
      </c>
      <c r="B2718" s="613" t="s">
        <v>650</v>
      </c>
      <c r="C2718" s="610" t="s">
        <v>690</v>
      </c>
      <c r="D2718" s="610" t="s">
        <v>691</v>
      </c>
      <c r="E2718" s="610" t="s">
        <v>379</v>
      </c>
      <c r="F2718" s="610" t="s">
        <v>379</v>
      </c>
      <c r="G2718" s="614">
        <v>0</v>
      </c>
      <c r="H2718" s="611"/>
    </row>
    <row r="2719" spans="1:8" ht="15.75">
      <c r="A2719" s="608" t="s">
        <v>653</v>
      </c>
      <c r="B2719" s="613" t="s">
        <v>654</v>
      </c>
      <c r="C2719" s="610" t="s">
        <v>692</v>
      </c>
      <c r="D2719" s="610" t="s">
        <v>686</v>
      </c>
      <c r="E2719" s="610" t="s">
        <v>379</v>
      </c>
      <c r="F2719" s="610" t="s">
        <v>379</v>
      </c>
      <c r="G2719" s="614">
        <v>0</v>
      </c>
      <c r="H2719" s="611"/>
    </row>
    <row r="2720" spans="1:8" ht="12.75" customHeight="1">
      <c r="A2720" s="608">
        <v>4</v>
      </c>
      <c r="B2720" s="706" t="s">
        <v>656</v>
      </c>
      <c r="C2720" s="706"/>
      <c r="D2720" s="706"/>
      <c r="E2720" s="706"/>
      <c r="F2720" s="706"/>
      <c r="G2720" s="706"/>
      <c r="H2720" s="706"/>
    </row>
    <row r="2721" spans="1:8" ht="31.5">
      <c r="A2721" s="608" t="s">
        <v>657</v>
      </c>
      <c r="B2721" s="612" t="s">
        <v>658</v>
      </c>
      <c r="C2721" s="610" t="s">
        <v>379</v>
      </c>
      <c r="D2721" s="610" t="s">
        <v>379</v>
      </c>
      <c r="E2721" s="610" t="s">
        <v>379</v>
      </c>
      <c r="F2721" s="610" t="s">
        <v>379</v>
      </c>
      <c r="G2721" s="610" t="s">
        <v>379</v>
      </c>
      <c r="H2721" s="611" t="s">
        <v>626</v>
      </c>
    </row>
    <row r="2722" spans="1:8" ht="47.25">
      <c r="A2722" s="608" t="s">
        <v>659</v>
      </c>
      <c r="B2722" s="612" t="s">
        <v>660</v>
      </c>
      <c r="C2722" s="610" t="s">
        <v>379</v>
      </c>
      <c r="D2722" s="610" t="s">
        <v>379</v>
      </c>
      <c r="E2722" s="610" t="s">
        <v>379</v>
      </c>
      <c r="F2722" s="610" t="s">
        <v>379</v>
      </c>
      <c r="G2722" s="610" t="s">
        <v>379</v>
      </c>
      <c r="H2722" s="611" t="s">
        <v>626</v>
      </c>
    </row>
    <row r="2723" spans="1:8" ht="31.5">
      <c r="A2723" s="608" t="s">
        <v>661</v>
      </c>
      <c r="B2723" s="613" t="s">
        <v>662</v>
      </c>
      <c r="C2723" s="610" t="s">
        <v>379</v>
      </c>
      <c r="D2723" s="610" t="s">
        <v>379</v>
      </c>
      <c r="E2723" s="610" t="s">
        <v>379</v>
      </c>
      <c r="F2723" s="610" t="s">
        <v>379</v>
      </c>
      <c r="G2723" s="610" t="s">
        <v>379</v>
      </c>
      <c r="H2723" s="611" t="s">
        <v>626</v>
      </c>
    </row>
    <row r="2724" spans="1:8" ht="31.5">
      <c r="A2724" s="615" t="s">
        <v>663</v>
      </c>
      <c r="B2724" s="616" t="s">
        <v>664</v>
      </c>
      <c r="C2724" s="617" t="s">
        <v>379</v>
      </c>
      <c r="D2724" s="617" t="s">
        <v>379</v>
      </c>
      <c r="E2724" s="617" t="s">
        <v>379</v>
      </c>
      <c r="F2724" s="617" t="s">
        <v>379</v>
      </c>
      <c r="G2724" s="617" t="s">
        <v>379</v>
      </c>
      <c r="H2724" s="618" t="s">
        <v>626</v>
      </c>
    </row>
    <row r="2725" spans="1:8" ht="15.75">
      <c r="A2725" s="619"/>
      <c r="B2725" s="620"/>
      <c r="C2725" s="621"/>
      <c r="D2725" s="621"/>
      <c r="E2725" s="621"/>
      <c r="F2725" s="621"/>
      <c r="G2725" s="621"/>
      <c r="H2725" s="148"/>
    </row>
    <row r="2726" spans="1:8" ht="12.75" customHeight="1">
      <c r="A2726" s="707" t="s">
        <v>665</v>
      </c>
      <c r="B2726" s="707"/>
      <c r="C2726" s="707"/>
      <c r="D2726" s="707"/>
      <c r="E2726" s="707"/>
      <c r="F2726" s="707"/>
      <c r="G2726" s="707"/>
      <c r="H2726" s="707"/>
    </row>
    <row r="2731" ht="15.75">
      <c r="H2731" s="11" t="s">
        <v>609</v>
      </c>
    </row>
    <row r="2732" ht="15.75">
      <c r="H2732" s="11" t="s">
        <v>610</v>
      </c>
    </row>
    <row r="2733" ht="15.75">
      <c r="H2733" s="11" t="s">
        <v>611</v>
      </c>
    </row>
    <row r="2734" ht="15.75">
      <c r="H2734" s="11"/>
    </row>
    <row r="2735" spans="1:8" ht="12.75" customHeight="1">
      <c r="A2735" s="713" t="s">
        <v>612</v>
      </c>
      <c r="B2735" s="713"/>
      <c r="C2735" s="713"/>
      <c r="D2735" s="713"/>
      <c r="E2735" s="713"/>
      <c r="F2735" s="713"/>
      <c r="G2735" s="713"/>
      <c r="H2735" s="713"/>
    </row>
    <row r="2736" spans="1:8" ht="12.75" customHeight="1">
      <c r="A2736" s="713" t="s">
        <v>613</v>
      </c>
      <c r="B2736" s="713"/>
      <c r="C2736" s="713"/>
      <c r="D2736" s="713"/>
      <c r="E2736" s="713"/>
      <c r="F2736" s="713"/>
      <c r="G2736" s="713"/>
      <c r="H2736" s="713"/>
    </row>
    <row r="2737" ht="15.75">
      <c r="H2737" s="11" t="s">
        <v>43</v>
      </c>
    </row>
    <row r="2738" ht="15.75">
      <c r="H2738" s="11" t="s">
        <v>44</v>
      </c>
    </row>
    <row r="2739" ht="15.75">
      <c r="H2739" s="11" t="s">
        <v>45</v>
      </c>
    </row>
    <row r="2740" ht="15.75">
      <c r="H2740" s="594" t="s">
        <v>614</v>
      </c>
    </row>
    <row r="2741" ht="15.75">
      <c r="H2741" s="11" t="s">
        <v>615</v>
      </c>
    </row>
    <row r="2742" ht="15.75">
      <c r="H2742" s="11" t="s">
        <v>47</v>
      </c>
    </row>
    <row r="2743" ht="15.75">
      <c r="A2743" s="595"/>
    </row>
    <row r="2744" ht="15.75">
      <c r="A2744" s="3" t="s">
        <v>790</v>
      </c>
    </row>
    <row r="2745" spans="1:8" ht="12.75" customHeight="1">
      <c r="A2745" s="717" t="s">
        <v>0</v>
      </c>
      <c r="B2745" s="714"/>
      <c r="C2745" s="714"/>
      <c r="D2745" s="714"/>
      <c r="E2745" s="714"/>
      <c r="F2745" s="714"/>
      <c r="G2745" s="714"/>
      <c r="H2745" s="714"/>
    </row>
    <row r="2746" spans="1:8" ht="16.5" thickBot="1">
      <c r="A2746" s="597"/>
      <c r="B2746" s="597"/>
      <c r="C2746" s="598"/>
      <c r="D2746" s="598"/>
      <c r="E2746" s="598"/>
      <c r="F2746" s="598"/>
      <c r="G2746" s="598"/>
      <c r="H2746" s="598"/>
    </row>
    <row r="2747" spans="1:8" ht="12.75" customHeight="1">
      <c r="A2747" s="708" t="s">
        <v>617</v>
      </c>
      <c r="B2747" s="710" t="s">
        <v>618</v>
      </c>
      <c r="C2747" s="711" t="s">
        <v>619</v>
      </c>
      <c r="D2747" s="711"/>
      <c r="E2747" s="711"/>
      <c r="F2747" s="711"/>
      <c r="G2747" s="712" t="s">
        <v>620</v>
      </c>
      <c r="H2747" s="708" t="s">
        <v>621</v>
      </c>
    </row>
    <row r="2748" spans="1:8" ht="15.75">
      <c r="A2748" s="708"/>
      <c r="B2748" s="710"/>
      <c r="C2748" s="711"/>
      <c r="D2748" s="711"/>
      <c r="E2748" s="711"/>
      <c r="F2748" s="711"/>
      <c r="G2748" s="712"/>
      <c r="H2748" s="708"/>
    </row>
    <row r="2749" spans="1:8" ht="31.5">
      <c r="A2749" s="708"/>
      <c r="B2749" s="710"/>
      <c r="C2749" s="601" t="s">
        <v>622</v>
      </c>
      <c r="D2749" s="601" t="s">
        <v>623</v>
      </c>
      <c r="E2749" s="602" t="s">
        <v>622</v>
      </c>
      <c r="F2749" s="603" t="s">
        <v>623</v>
      </c>
      <c r="G2749" s="712"/>
      <c r="H2749" s="708"/>
    </row>
    <row r="2750" spans="1:8" ht="15.75">
      <c r="A2750" s="599">
        <v>1</v>
      </c>
      <c r="B2750" s="599">
        <v>2</v>
      </c>
      <c r="C2750" s="604">
        <v>3</v>
      </c>
      <c r="D2750" s="604">
        <v>4</v>
      </c>
      <c r="E2750" s="605"/>
      <c r="F2750" s="606"/>
      <c r="G2750" s="600">
        <v>5</v>
      </c>
      <c r="H2750" s="599">
        <v>6</v>
      </c>
    </row>
    <row r="2751" spans="1:8" ht="12.75" customHeight="1">
      <c r="A2751" s="607">
        <v>1</v>
      </c>
      <c r="B2751" s="709" t="s">
        <v>624</v>
      </c>
      <c r="C2751" s="709"/>
      <c r="D2751" s="709"/>
      <c r="E2751" s="709"/>
      <c r="F2751" s="709"/>
      <c r="G2751" s="709"/>
      <c r="H2751" s="709"/>
    </row>
    <row r="2752" spans="1:8" ht="15.75">
      <c r="A2752" s="608" t="s">
        <v>74</v>
      </c>
      <c r="B2752" s="609" t="s">
        <v>625</v>
      </c>
      <c r="C2752" s="610" t="s">
        <v>379</v>
      </c>
      <c r="D2752" s="610" t="s">
        <v>379</v>
      </c>
      <c r="E2752" s="610" t="s">
        <v>379</v>
      </c>
      <c r="F2752" s="610" t="s">
        <v>379</v>
      </c>
      <c r="G2752" s="610" t="s">
        <v>379</v>
      </c>
      <c r="H2752" s="611" t="s">
        <v>626</v>
      </c>
    </row>
    <row r="2753" spans="1:8" ht="15.75">
      <c r="A2753" s="608" t="s">
        <v>313</v>
      </c>
      <c r="B2753" s="609" t="s">
        <v>627</v>
      </c>
      <c r="C2753" s="610" t="s">
        <v>379</v>
      </c>
      <c r="D2753" s="610" t="s">
        <v>379</v>
      </c>
      <c r="E2753" s="610" t="s">
        <v>379</v>
      </c>
      <c r="F2753" s="610" t="s">
        <v>379</v>
      </c>
      <c r="G2753" s="610" t="s">
        <v>379</v>
      </c>
      <c r="H2753" s="611" t="s">
        <v>626</v>
      </c>
    </row>
    <row r="2754" spans="1:8" ht="31.5">
      <c r="A2754" s="608" t="s">
        <v>315</v>
      </c>
      <c r="B2754" s="612" t="s">
        <v>628</v>
      </c>
      <c r="C2754" s="610" t="s">
        <v>379</v>
      </c>
      <c r="D2754" s="610" t="s">
        <v>379</v>
      </c>
      <c r="E2754" s="610" t="s">
        <v>379</v>
      </c>
      <c r="F2754" s="610" t="s">
        <v>379</v>
      </c>
      <c r="G2754" s="610" t="s">
        <v>379</v>
      </c>
      <c r="H2754" s="611" t="s">
        <v>626</v>
      </c>
    </row>
    <row r="2755" spans="1:8" ht="47.25">
      <c r="A2755" s="608" t="s">
        <v>317</v>
      </c>
      <c r="B2755" s="612" t="s">
        <v>629</v>
      </c>
      <c r="C2755" s="610" t="s">
        <v>379</v>
      </c>
      <c r="D2755" s="610" t="s">
        <v>379</v>
      </c>
      <c r="E2755" s="610" t="s">
        <v>379</v>
      </c>
      <c r="F2755" s="610" t="s">
        <v>379</v>
      </c>
      <c r="G2755" s="610" t="s">
        <v>379</v>
      </c>
      <c r="H2755" s="611" t="s">
        <v>626</v>
      </c>
    </row>
    <row r="2756" spans="1:8" ht="15.75">
      <c r="A2756" s="608" t="s">
        <v>630</v>
      </c>
      <c r="B2756" s="613" t="s">
        <v>631</v>
      </c>
      <c r="C2756" s="610" t="s">
        <v>379</v>
      </c>
      <c r="D2756" s="610" t="s">
        <v>379</v>
      </c>
      <c r="E2756" s="610" t="s">
        <v>379</v>
      </c>
      <c r="F2756" s="610" t="s">
        <v>379</v>
      </c>
      <c r="G2756" s="610" t="s">
        <v>379</v>
      </c>
      <c r="H2756" s="611" t="s">
        <v>626</v>
      </c>
    </row>
    <row r="2757" spans="1:8" ht="15.75">
      <c r="A2757" s="608" t="s">
        <v>632</v>
      </c>
      <c r="B2757" s="613" t="s">
        <v>633</v>
      </c>
      <c r="C2757" s="610" t="s">
        <v>379</v>
      </c>
      <c r="D2757" s="610" t="s">
        <v>379</v>
      </c>
      <c r="E2757" s="610" t="s">
        <v>379</v>
      </c>
      <c r="F2757" s="610" t="s">
        <v>379</v>
      </c>
      <c r="G2757" s="610" t="s">
        <v>379</v>
      </c>
      <c r="H2757" s="611" t="s">
        <v>626</v>
      </c>
    </row>
    <row r="2758" spans="1:8" ht="12.75" customHeight="1">
      <c r="A2758" s="608">
        <v>2</v>
      </c>
      <c r="B2758" s="706" t="s">
        <v>634</v>
      </c>
      <c r="C2758" s="706"/>
      <c r="D2758" s="706"/>
      <c r="E2758" s="706"/>
      <c r="F2758" s="706"/>
      <c r="G2758" s="706"/>
      <c r="H2758" s="706"/>
    </row>
    <row r="2759" spans="1:8" ht="31.5">
      <c r="A2759" s="608" t="s">
        <v>321</v>
      </c>
      <c r="B2759" s="612" t="s">
        <v>635</v>
      </c>
      <c r="C2759" s="610" t="s">
        <v>676</v>
      </c>
      <c r="D2759" s="610" t="s">
        <v>677</v>
      </c>
      <c r="E2759" s="610" t="s">
        <v>379</v>
      </c>
      <c r="F2759" s="610" t="s">
        <v>379</v>
      </c>
      <c r="G2759" s="614">
        <v>0</v>
      </c>
      <c r="H2759" s="611"/>
    </row>
    <row r="2760" spans="1:8" ht="47.25">
      <c r="A2760" s="608" t="s">
        <v>325</v>
      </c>
      <c r="B2760" s="612" t="s">
        <v>638</v>
      </c>
      <c r="C2760" s="610" t="s">
        <v>379</v>
      </c>
      <c r="D2760" s="610" t="s">
        <v>379</v>
      </c>
      <c r="E2760" s="610" t="s">
        <v>379</v>
      </c>
      <c r="F2760" s="610" t="s">
        <v>379</v>
      </c>
      <c r="G2760" s="610" t="s">
        <v>379</v>
      </c>
      <c r="H2760" s="611" t="s">
        <v>626</v>
      </c>
    </row>
    <row r="2761" spans="1:8" ht="31.5">
      <c r="A2761" s="608" t="s">
        <v>639</v>
      </c>
      <c r="B2761" s="612" t="s">
        <v>640</v>
      </c>
      <c r="C2761" s="610" t="s">
        <v>379</v>
      </c>
      <c r="D2761" s="610" t="s">
        <v>379</v>
      </c>
      <c r="E2761" s="610" t="s">
        <v>379</v>
      </c>
      <c r="F2761" s="610" t="s">
        <v>379</v>
      </c>
      <c r="G2761" s="610" t="s">
        <v>379</v>
      </c>
      <c r="H2761" s="611" t="s">
        <v>626</v>
      </c>
    </row>
    <row r="2762" spans="1:8" ht="12.75" customHeight="1">
      <c r="A2762" s="608">
        <v>3</v>
      </c>
      <c r="B2762" s="706" t="s">
        <v>641</v>
      </c>
      <c r="C2762" s="706"/>
      <c r="D2762" s="706"/>
      <c r="E2762" s="706"/>
      <c r="F2762" s="706"/>
      <c r="G2762" s="706"/>
      <c r="H2762" s="706"/>
    </row>
    <row r="2763" spans="1:8" ht="31.5">
      <c r="A2763" s="608" t="s">
        <v>378</v>
      </c>
      <c r="B2763" s="613" t="s">
        <v>642</v>
      </c>
      <c r="C2763" s="610" t="s">
        <v>379</v>
      </c>
      <c r="D2763" s="610" t="s">
        <v>379</v>
      </c>
      <c r="E2763" s="610" t="s">
        <v>379</v>
      </c>
      <c r="F2763" s="610" t="s">
        <v>379</v>
      </c>
      <c r="G2763" s="610" t="s">
        <v>379</v>
      </c>
      <c r="H2763" s="611" t="s">
        <v>626</v>
      </c>
    </row>
    <row r="2764" spans="1:8" ht="15.75">
      <c r="A2764" s="608" t="s">
        <v>643</v>
      </c>
      <c r="B2764" s="613" t="s">
        <v>644</v>
      </c>
      <c r="C2764" s="610" t="s">
        <v>676</v>
      </c>
      <c r="D2764" s="610" t="s">
        <v>678</v>
      </c>
      <c r="E2764" s="610" t="s">
        <v>379</v>
      </c>
      <c r="F2764" s="610" t="s">
        <v>379</v>
      </c>
      <c r="G2764" s="614">
        <v>0</v>
      </c>
      <c r="H2764" s="611"/>
    </row>
    <row r="2765" spans="1:8" ht="15.75">
      <c r="A2765" s="608" t="s">
        <v>380</v>
      </c>
      <c r="B2765" s="613" t="s">
        <v>646</v>
      </c>
      <c r="C2765" s="610" t="s">
        <v>679</v>
      </c>
      <c r="D2765" s="610" t="s">
        <v>680</v>
      </c>
      <c r="E2765" s="610" t="s">
        <v>379</v>
      </c>
      <c r="F2765" s="610" t="s">
        <v>379</v>
      </c>
      <c r="G2765" s="614">
        <v>0</v>
      </c>
      <c r="H2765" s="611"/>
    </row>
    <row r="2766" spans="1:8" ht="15.75">
      <c r="A2766" s="608" t="s">
        <v>649</v>
      </c>
      <c r="B2766" s="613" t="s">
        <v>650</v>
      </c>
      <c r="C2766" s="610" t="s">
        <v>681</v>
      </c>
      <c r="D2766" s="610" t="s">
        <v>682</v>
      </c>
      <c r="E2766" s="610" t="s">
        <v>379</v>
      </c>
      <c r="F2766" s="610" t="s">
        <v>379</v>
      </c>
      <c r="G2766" s="614">
        <v>0</v>
      </c>
      <c r="H2766" s="611"/>
    </row>
    <row r="2767" spans="1:8" ht="15.75">
      <c r="A2767" s="608" t="s">
        <v>653</v>
      </c>
      <c r="B2767" s="613" t="s">
        <v>654</v>
      </c>
      <c r="C2767" s="610" t="s">
        <v>682</v>
      </c>
      <c r="D2767" s="610" t="s">
        <v>677</v>
      </c>
      <c r="E2767" s="610" t="s">
        <v>379</v>
      </c>
      <c r="F2767" s="610" t="s">
        <v>379</v>
      </c>
      <c r="G2767" s="614">
        <v>0</v>
      </c>
      <c r="H2767" s="611"/>
    </row>
    <row r="2768" spans="1:8" ht="12.75" customHeight="1">
      <c r="A2768" s="608">
        <v>4</v>
      </c>
      <c r="B2768" s="706" t="s">
        <v>656</v>
      </c>
      <c r="C2768" s="706"/>
      <c r="D2768" s="706"/>
      <c r="E2768" s="706"/>
      <c r="F2768" s="706"/>
      <c r="G2768" s="706"/>
      <c r="H2768" s="706"/>
    </row>
    <row r="2769" spans="1:8" ht="31.5">
      <c r="A2769" s="608" t="s">
        <v>657</v>
      </c>
      <c r="B2769" s="612" t="s">
        <v>658</v>
      </c>
      <c r="C2769" s="610" t="s">
        <v>379</v>
      </c>
      <c r="D2769" s="610" t="s">
        <v>379</v>
      </c>
      <c r="E2769" s="610" t="s">
        <v>379</v>
      </c>
      <c r="F2769" s="610" t="s">
        <v>379</v>
      </c>
      <c r="G2769" s="610" t="s">
        <v>379</v>
      </c>
      <c r="H2769" s="611" t="s">
        <v>626</v>
      </c>
    </row>
    <row r="2770" spans="1:8" ht="47.25">
      <c r="A2770" s="608" t="s">
        <v>659</v>
      </c>
      <c r="B2770" s="612" t="s">
        <v>660</v>
      </c>
      <c r="C2770" s="610" t="s">
        <v>379</v>
      </c>
      <c r="D2770" s="610" t="s">
        <v>379</v>
      </c>
      <c r="E2770" s="610" t="s">
        <v>379</v>
      </c>
      <c r="F2770" s="610" t="s">
        <v>379</v>
      </c>
      <c r="G2770" s="610" t="s">
        <v>379</v>
      </c>
      <c r="H2770" s="611" t="s">
        <v>626</v>
      </c>
    </row>
    <row r="2771" spans="1:8" ht="31.5">
      <c r="A2771" s="608" t="s">
        <v>661</v>
      </c>
      <c r="B2771" s="613" t="s">
        <v>662</v>
      </c>
      <c r="C2771" s="610" t="s">
        <v>379</v>
      </c>
      <c r="D2771" s="610" t="s">
        <v>379</v>
      </c>
      <c r="E2771" s="610" t="s">
        <v>379</v>
      </c>
      <c r="F2771" s="610" t="s">
        <v>379</v>
      </c>
      <c r="G2771" s="610" t="s">
        <v>379</v>
      </c>
      <c r="H2771" s="611" t="s">
        <v>626</v>
      </c>
    </row>
    <row r="2772" spans="1:8" ht="31.5">
      <c r="A2772" s="615" t="s">
        <v>663</v>
      </c>
      <c r="B2772" s="616" t="s">
        <v>664</v>
      </c>
      <c r="C2772" s="617" t="s">
        <v>379</v>
      </c>
      <c r="D2772" s="617" t="s">
        <v>379</v>
      </c>
      <c r="E2772" s="617" t="s">
        <v>379</v>
      </c>
      <c r="F2772" s="617" t="s">
        <v>379</v>
      </c>
      <c r="G2772" s="617" t="s">
        <v>379</v>
      </c>
      <c r="H2772" s="618" t="s">
        <v>626</v>
      </c>
    </row>
    <row r="2773" spans="1:8" ht="15.75">
      <c r="A2773" s="619"/>
      <c r="B2773" s="620"/>
      <c r="C2773" s="621"/>
      <c r="D2773" s="621"/>
      <c r="E2773" s="621"/>
      <c r="F2773" s="621"/>
      <c r="G2773" s="621"/>
      <c r="H2773" s="148"/>
    </row>
    <row r="2774" spans="1:8" ht="12.75" customHeight="1">
      <c r="A2774" s="707" t="s">
        <v>665</v>
      </c>
      <c r="B2774" s="707"/>
      <c r="C2774" s="707"/>
      <c r="D2774" s="707"/>
      <c r="E2774" s="707"/>
      <c r="F2774" s="707"/>
      <c r="G2774" s="707"/>
      <c r="H2774" s="707"/>
    </row>
    <row r="2778" ht="15.75">
      <c r="H2778" s="11" t="s">
        <v>609</v>
      </c>
    </row>
    <row r="2779" ht="15.75">
      <c r="H2779" s="11" t="s">
        <v>610</v>
      </c>
    </row>
    <row r="2780" ht="15.75">
      <c r="H2780" s="11" t="s">
        <v>611</v>
      </c>
    </row>
    <row r="2781" ht="15.75">
      <c r="H2781" s="11"/>
    </row>
    <row r="2782" spans="1:8" ht="12.75" customHeight="1">
      <c r="A2782" s="713" t="s">
        <v>612</v>
      </c>
      <c r="B2782" s="713"/>
      <c r="C2782" s="713"/>
      <c r="D2782" s="713"/>
      <c r="E2782" s="713"/>
      <c r="F2782" s="713"/>
      <c r="G2782" s="713"/>
      <c r="H2782" s="713"/>
    </row>
    <row r="2783" spans="1:8" ht="12.75" customHeight="1">
      <c r="A2783" s="713" t="s">
        <v>613</v>
      </c>
      <c r="B2783" s="713"/>
      <c r="C2783" s="713"/>
      <c r="D2783" s="713"/>
      <c r="E2783" s="713"/>
      <c r="F2783" s="713"/>
      <c r="G2783" s="713"/>
      <c r="H2783" s="713"/>
    </row>
    <row r="2784" ht="15.75">
      <c r="H2784" s="11" t="s">
        <v>43</v>
      </c>
    </row>
    <row r="2785" ht="15.75">
      <c r="H2785" s="11" t="s">
        <v>44</v>
      </c>
    </row>
    <row r="2786" ht="15.75">
      <c r="H2786" s="11" t="s">
        <v>45</v>
      </c>
    </row>
    <row r="2787" ht="15.75">
      <c r="H2787" s="594" t="s">
        <v>614</v>
      </c>
    </row>
    <row r="2788" ht="15.75">
      <c r="H2788" s="11" t="s">
        <v>615</v>
      </c>
    </row>
    <row r="2789" ht="15.75">
      <c r="H2789" s="11" t="s">
        <v>47</v>
      </c>
    </row>
    <row r="2790" ht="15.75">
      <c r="A2790" s="595"/>
    </row>
    <row r="2791" ht="15.75">
      <c r="A2791" s="3" t="s">
        <v>791</v>
      </c>
    </row>
    <row r="2792" spans="1:8" ht="12.75" customHeight="1">
      <c r="A2792" s="717" t="s">
        <v>0</v>
      </c>
      <c r="B2792" s="714"/>
      <c r="C2792" s="714"/>
      <c r="D2792" s="714"/>
      <c r="E2792" s="714"/>
      <c r="F2792" s="714"/>
      <c r="G2792" s="714"/>
      <c r="H2792" s="714"/>
    </row>
    <row r="2793" spans="1:8" ht="16.5" thickBot="1">
      <c r="A2793" s="597"/>
      <c r="B2793" s="597"/>
      <c r="C2793" s="598"/>
      <c r="D2793" s="598"/>
      <c r="E2793" s="598"/>
      <c r="F2793" s="598"/>
      <c r="G2793" s="598"/>
      <c r="H2793" s="598"/>
    </row>
    <row r="2794" spans="1:8" ht="12.75" customHeight="1">
      <c r="A2794" s="708" t="s">
        <v>617</v>
      </c>
      <c r="B2794" s="710" t="s">
        <v>618</v>
      </c>
      <c r="C2794" s="711" t="s">
        <v>619</v>
      </c>
      <c r="D2794" s="711"/>
      <c r="E2794" s="711"/>
      <c r="F2794" s="711"/>
      <c r="G2794" s="712" t="s">
        <v>620</v>
      </c>
      <c r="H2794" s="708" t="s">
        <v>621</v>
      </c>
    </row>
    <row r="2795" spans="1:8" ht="15.75">
      <c r="A2795" s="708"/>
      <c r="B2795" s="710"/>
      <c r="C2795" s="711"/>
      <c r="D2795" s="711"/>
      <c r="E2795" s="711"/>
      <c r="F2795" s="711"/>
      <c r="G2795" s="712"/>
      <c r="H2795" s="708"/>
    </row>
    <row r="2796" spans="1:8" ht="31.5">
      <c r="A2796" s="708"/>
      <c r="B2796" s="710"/>
      <c r="C2796" s="601" t="s">
        <v>622</v>
      </c>
      <c r="D2796" s="601" t="s">
        <v>623</v>
      </c>
      <c r="E2796" s="602" t="s">
        <v>622</v>
      </c>
      <c r="F2796" s="603" t="s">
        <v>623</v>
      </c>
      <c r="G2796" s="712"/>
      <c r="H2796" s="708"/>
    </row>
    <row r="2797" spans="1:8" ht="15.75">
      <c r="A2797" s="599">
        <v>1</v>
      </c>
      <c r="B2797" s="599">
        <v>2</v>
      </c>
      <c r="C2797" s="604">
        <v>3</v>
      </c>
      <c r="D2797" s="604">
        <v>4</v>
      </c>
      <c r="E2797" s="605"/>
      <c r="F2797" s="606"/>
      <c r="G2797" s="600">
        <v>5</v>
      </c>
      <c r="H2797" s="599">
        <v>6</v>
      </c>
    </row>
    <row r="2798" spans="1:8" ht="12.75" customHeight="1">
      <c r="A2798" s="607">
        <v>1</v>
      </c>
      <c r="B2798" s="709" t="s">
        <v>624</v>
      </c>
      <c r="C2798" s="709"/>
      <c r="D2798" s="709"/>
      <c r="E2798" s="709"/>
      <c r="F2798" s="709"/>
      <c r="G2798" s="709"/>
      <c r="H2798" s="709"/>
    </row>
    <row r="2799" spans="1:8" ht="15.75">
      <c r="A2799" s="608" t="s">
        <v>74</v>
      </c>
      <c r="B2799" s="609" t="s">
        <v>625</v>
      </c>
      <c r="C2799" s="610" t="s">
        <v>379</v>
      </c>
      <c r="D2799" s="610" t="s">
        <v>379</v>
      </c>
      <c r="E2799" s="610" t="s">
        <v>379</v>
      </c>
      <c r="F2799" s="610" t="s">
        <v>379</v>
      </c>
      <c r="G2799" s="610" t="s">
        <v>379</v>
      </c>
      <c r="H2799" s="611" t="s">
        <v>626</v>
      </c>
    </row>
    <row r="2800" spans="1:8" ht="15.75">
      <c r="A2800" s="608" t="s">
        <v>313</v>
      </c>
      <c r="B2800" s="609" t="s">
        <v>627</v>
      </c>
      <c r="C2800" s="610" t="s">
        <v>379</v>
      </c>
      <c r="D2800" s="610" t="s">
        <v>379</v>
      </c>
      <c r="E2800" s="610" t="s">
        <v>379</v>
      </c>
      <c r="F2800" s="610" t="s">
        <v>379</v>
      </c>
      <c r="G2800" s="610" t="s">
        <v>379</v>
      </c>
      <c r="H2800" s="611" t="s">
        <v>626</v>
      </c>
    </row>
    <row r="2801" spans="1:8" ht="31.5">
      <c r="A2801" s="608" t="s">
        <v>315</v>
      </c>
      <c r="B2801" s="612" t="s">
        <v>628</v>
      </c>
      <c r="C2801" s="610" t="s">
        <v>379</v>
      </c>
      <c r="D2801" s="610" t="s">
        <v>379</v>
      </c>
      <c r="E2801" s="610" t="s">
        <v>379</v>
      </c>
      <c r="F2801" s="610" t="s">
        <v>379</v>
      </c>
      <c r="G2801" s="610" t="s">
        <v>379</v>
      </c>
      <c r="H2801" s="611" t="s">
        <v>626</v>
      </c>
    </row>
    <row r="2802" spans="1:8" ht="47.25">
      <c r="A2802" s="608" t="s">
        <v>317</v>
      </c>
      <c r="B2802" s="612" t="s">
        <v>629</v>
      </c>
      <c r="C2802" s="610" t="s">
        <v>379</v>
      </c>
      <c r="D2802" s="610" t="s">
        <v>379</v>
      </c>
      <c r="E2802" s="610" t="s">
        <v>379</v>
      </c>
      <c r="F2802" s="610" t="s">
        <v>379</v>
      </c>
      <c r="G2802" s="610" t="s">
        <v>379</v>
      </c>
      <c r="H2802" s="611" t="s">
        <v>626</v>
      </c>
    </row>
    <row r="2803" spans="1:8" ht="15.75">
      <c r="A2803" s="608" t="s">
        <v>630</v>
      </c>
      <c r="B2803" s="613" t="s">
        <v>631</v>
      </c>
      <c r="C2803" s="610" t="s">
        <v>379</v>
      </c>
      <c r="D2803" s="610" t="s">
        <v>379</v>
      </c>
      <c r="E2803" s="610" t="s">
        <v>379</v>
      </c>
      <c r="F2803" s="610" t="s">
        <v>379</v>
      </c>
      <c r="G2803" s="610" t="s">
        <v>379</v>
      </c>
      <c r="H2803" s="611" t="s">
        <v>626</v>
      </c>
    </row>
    <row r="2804" spans="1:8" ht="15.75">
      <c r="A2804" s="608" t="s">
        <v>632</v>
      </c>
      <c r="B2804" s="613" t="s">
        <v>633</v>
      </c>
      <c r="C2804" s="610" t="s">
        <v>379</v>
      </c>
      <c r="D2804" s="610" t="s">
        <v>379</v>
      </c>
      <c r="E2804" s="610" t="s">
        <v>379</v>
      </c>
      <c r="F2804" s="610" t="s">
        <v>379</v>
      </c>
      <c r="G2804" s="610" t="s">
        <v>379</v>
      </c>
      <c r="H2804" s="611" t="s">
        <v>626</v>
      </c>
    </row>
    <row r="2805" spans="1:8" ht="12.75" customHeight="1">
      <c r="A2805" s="608">
        <v>2</v>
      </c>
      <c r="B2805" s="706" t="s">
        <v>634</v>
      </c>
      <c r="C2805" s="706"/>
      <c r="D2805" s="706"/>
      <c r="E2805" s="706"/>
      <c r="F2805" s="706"/>
      <c r="G2805" s="706"/>
      <c r="H2805" s="706"/>
    </row>
    <row r="2806" spans="1:8" ht="31.5">
      <c r="A2806" s="608" t="s">
        <v>321</v>
      </c>
      <c r="B2806" s="612" t="s">
        <v>635</v>
      </c>
      <c r="C2806" s="610" t="s">
        <v>676</v>
      </c>
      <c r="D2806" s="610" t="s">
        <v>677</v>
      </c>
      <c r="E2806" s="610" t="s">
        <v>379</v>
      </c>
      <c r="F2806" s="610" t="s">
        <v>379</v>
      </c>
      <c r="G2806" s="614">
        <v>0</v>
      </c>
      <c r="H2806" s="611"/>
    </row>
    <row r="2807" spans="1:8" ht="47.25">
      <c r="A2807" s="608" t="s">
        <v>325</v>
      </c>
      <c r="B2807" s="612" t="s">
        <v>638</v>
      </c>
      <c r="C2807" s="610" t="s">
        <v>379</v>
      </c>
      <c r="D2807" s="610" t="s">
        <v>379</v>
      </c>
      <c r="E2807" s="610" t="s">
        <v>379</v>
      </c>
      <c r="F2807" s="610" t="s">
        <v>379</v>
      </c>
      <c r="G2807" s="610" t="s">
        <v>379</v>
      </c>
      <c r="H2807" s="611" t="s">
        <v>626</v>
      </c>
    </row>
    <row r="2808" spans="1:8" ht="31.5">
      <c r="A2808" s="608" t="s">
        <v>639</v>
      </c>
      <c r="B2808" s="612" t="s">
        <v>640</v>
      </c>
      <c r="C2808" s="610" t="s">
        <v>379</v>
      </c>
      <c r="D2808" s="610" t="s">
        <v>379</v>
      </c>
      <c r="E2808" s="610" t="s">
        <v>379</v>
      </c>
      <c r="F2808" s="610" t="s">
        <v>379</v>
      </c>
      <c r="G2808" s="610" t="s">
        <v>379</v>
      </c>
      <c r="H2808" s="611" t="s">
        <v>626</v>
      </c>
    </row>
    <row r="2809" spans="1:8" ht="12.75" customHeight="1">
      <c r="A2809" s="608">
        <v>3</v>
      </c>
      <c r="B2809" s="706" t="s">
        <v>641</v>
      </c>
      <c r="C2809" s="706"/>
      <c r="D2809" s="706"/>
      <c r="E2809" s="706"/>
      <c r="F2809" s="706"/>
      <c r="G2809" s="706"/>
      <c r="H2809" s="706"/>
    </row>
    <row r="2810" spans="1:8" ht="31.5">
      <c r="A2810" s="608" t="s">
        <v>378</v>
      </c>
      <c r="B2810" s="613" t="s">
        <v>642</v>
      </c>
      <c r="C2810" s="610" t="s">
        <v>379</v>
      </c>
      <c r="D2810" s="610" t="s">
        <v>379</v>
      </c>
      <c r="E2810" s="610" t="s">
        <v>379</v>
      </c>
      <c r="F2810" s="610" t="s">
        <v>379</v>
      </c>
      <c r="G2810" s="610" t="s">
        <v>379</v>
      </c>
      <c r="H2810" s="611" t="s">
        <v>626</v>
      </c>
    </row>
    <row r="2811" spans="1:8" ht="15.75">
      <c r="A2811" s="608" t="s">
        <v>643</v>
      </c>
      <c r="B2811" s="613" t="s">
        <v>644</v>
      </c>
      <c r="C2811" s="610" t="s">
        <v>676</v>
      </c>
      <c r="D2811" s="610" t="s">
        <v>678</v>
      </c>
      <c r="E2811" s="610" t="s">
        <v>379</v>
      </c>
      <c r="F2811" s="610" t="s">
        <v>379</v>
      </c>
      <c r="G2811" s="614">
        <v>0</v>
      </c>
      <c r="H2811" s="611"/>
    </row>
    <row r="2812" spans="1:8" ht="15.75">
      <c r="A2812" s="608" t="s">
        <v>380</v>
      </c>
      <c r="B2812" s="613" t="s">
        <v>646</v>
      </c>
      <c r="C2812" s="610" t="s">
        <v>679</v>
      </c>
      <c r="D2812" s="610" t="s">
        <v>680</v>
      </c>
      <c r="E2812" s="610" t="s">
        <v>379</v>
      </c>
      <c r="F2812" s="610" t="s">
        <v>379</v>
      </c>
      <c r="G2812" s="614">
        <v>0</v>
      </c>
      <c r="H2812" s="611"/>
    </row>
    <row r="2813" spans="1:8" ht="15.75">
      <c r="A2813" s="608" t="s">
        <v>649</v>
      </c>
      <c r="B2813" s="613" t="s">
        <v>650</v>
      </c>
      <c r="C2813" s="610" t="s">
        <v>681</v>
      </c>
      <c r="D2813" s="610" t="s">
        <v>682</v>
      </c>
      <c r="E2813" s="610" t="s">
        <v>379</v>
      </c>
      <c r="F2813" s="610" t="s">
        <v>379</v>
      </c>
      <c r="G2813" s="614">
        <v>0</v>
      </c>
      <c r="H2813" s="611"/>
    </row>
    <row r="2814" spans="1:8" ht="15.75">
      <c r="A2814" s="608" t="s">
        <v>653</v>
      </c>
      <c r="B2814" s="613" t="s">
        <v>654</v>
      </c>
      <c r="C2814" s="610" t="s">
        <v>682</v>
      </c>
      <c r="D2814" s="610" t="s">
        <v>677</v>
      </c>
      <c r="E2814" s="610" t="s">
        <v>379</v>
      </c>
      <c r="F2814" s="610" t="s">
        <v>379</v>
      </c>
      <c r="G2814" s="614">
        <v>0</v>
      </c>
      <c r="H2814" s="611"/>
    </row>
    <row r="2815" spans="1:8" ht="12.75" customHeight="1">
      <c r="A2815" s="608">
        <v>4</v>
      </c>
      <c r="B2815" s="706" t="s">
        <v>656</v>
      </c>
      <c r="C2815" s="706"/>
      <c r="D2815" s="706"/>
      <c r="E2815" s="706"/>
      <c r="F2815" s="706"/>
      <c r="G2815" s="706"/>
      <c r="H2815" s="706"/>
    </row>
    <row r="2816" spans="1:8" ht="31.5">
      <c r="A2816" s="608" t="s">
        <v>657</v>
      </c>
      <c r="B2816" s="612" t="s">
        <v>658</v>
      </c>
      <c r="C2816" s="610" t="s">
        <v>379</v>
      </c>
      <c r="D2816" s="610" t="s">
        <v>379</v>
      </c>
      <c r="E2816" s="610" t="s">
        <v>379</v>
      </c>
      <c r="F2816" s="610" t="s">
        <v>379</v>
      </c>
      <c r="G2816" s="610" t="s">
        <v>379</v>
      </c>
      <c r="H2816" s="611" t="s">
        <v>626</v>
      </c>
    </row>
    <row r="2817" spans="1:8" ht="47.25">
      <c r="A2817" s="608" t="s">
        <v>659</v>
      </c>
      <c r="B2817" s="612" t="s">
        <v>660</v>
      </c>
      <c r="C2817" s="610" t="s">
        <v>379</v>
      </c>
      <c r="D2817" s="610" t="s">
        <v>379</v>
      </c>
      <c r="E2817" s="610" t="s">
        <v>379</v>
      </c>
      <c r="F2817" s="610" t="s">
        <v>379</v>
      </c>
      <c r="G2817" s="610" t="s">
        <v>379</v>
      </c>
      <c r="H2817" s="611" t="s">
        <v>626</v>
      </c>
    </row>
    <row r="2818" spans="1:8" ht="31.5">
      <c r="A2818" s="608" t="s">
        <v>661</v>
      </c>
      <c r="B2818" s="613" t="s">
        <v>662</v>
      </c>
      <c r="C2818" s="610" t="s">
        <v>379</v>
      </c>
      <c r="D2818" s="610" t="s">
        <v>379</v>
      </c>
      <c r="E2818" s="610" t="s">
        <v>379</v>
      </c>
      <c r="F2818" s="610" t="s">
        <v>379</v>
      </c>
      <c r="G2818" s="610" t="s">
        <v>379</v>
      </c>
      <c r="H2818" s="611" t="s">
        <v>626</v>
      </c>
    </row>
    <row r="2819" spans="1:8" ht="31.5">
      <c r="A2819" s="615" t="s">
        <v>663</v>
      </c>
      <c r="B2819" s="616" t="s">
        <v>664</v>
      </c>
      <c r="C2819" s="617" t="s">
        <v>379</v>
      </c>
      <c r="D2819" s="617" t="s">
        <v>379</v>
      </c>
      <c r="E2819" s="617" t="s">
        <v>379</v>
      </c>
      <c r="F2819" s="617" t="s">
        <v>379</v>
      </c>
      <c r="G2819" s="617" t="s">
        <v>379</v>
      </c>
      <c r="H2819" s="618" t="s">
        <v>626</v>
      </c>
    </row>
    <row r="2820" spans="1:8" ht="15.75">
      <c r="A2820" s="619"/>
      <c r="B2820" s="620"/>
      <c r="C2820" s="621"/>
      <c r="D2820" s="621"/>
      <c r="E2820" s="621"/>
      <c r="F2820" s="621"/>
      <c r="G2820" s="621"/>
      <c r="H2820" s="148"/>
    </row>
    <row r="2821" spans="1:8" ht="12.75" customHeight="1">
      <c r="A2821" s="707" t="s">
        <v>665</v>
      </c>
      <c r="B2821" s="707"/>
      <c r="C2821" s="707"/>
      <c r="D2821" s="707"/>
      <c r="E2821" s="707"/>
      <c r="F2821" s="707"/>
      <c r="G2821" s="707"/>
      <c r="H2821" s="707"/>
    </row>
    <row r="2827" ht="15.75">
      <c r="H2827" s="11" t="s">
        <v>609</v>
      </c>
    </row>
    <row r="2828" ht="15.75">
      <c r="H2828" s="11" t="s">
        <v>610</v>
      </c>
    </row>
    <row r="2829" ht="15.75">
      <c r="H2829" s="11" t="s">
        <v>611</v>
      </c>
    </row>
    <row r="2830" ht="15.75">
      <c r="H2830" s="11"/>
    </row>
    <row r="2831" spans="1:8" ht="12.75" customHeight="1">
      <c r="A2831" s="713" t="s">
        <v>612</v>
      </c>
      <c r="B2831" s="713"/>
      <c r="C2831" s="713"/>
      <c r="D2831" s="713"/>
      <c r="E2831" s="713"/>
      <c r="F2831" s="713"/>
      <c r="G2831" s="713"/>
      <c r="H2831" s="713"/>
    </row>
    <row r="2832" spans="1:8" ht="12.75" customHeight="1">
      <c r="A2832" s="713" t="s">
        <v>613</v>
      </c>
      <c r="B2832" s="713"/>
      <c r="C2832" s="713"/>
      <c r="D2832" s="713"/>
      <c r="E2832" s="713"/>
      <c r="F2832" s="713"/>
      <c r="G2832" s="713"/>
      <c r="H2832" s="713"/>
    </row>
    <row r="2833" ht="15.75">
      <c r="H2833" s="11" t="s">
        <v>43</v>
      </c>
    </row>
    <row r="2834" ht="15.75">
      <c r="H2834" s="11" t="s">
        <v>44</v>
      </c>
    </row>
    <row r="2835" ht="15.75">
      <c r="H2835" s="11" t="s">
        <v>45</v>
      </c>
    </row>
    <row r="2836" ht="15.75">
      <c r="H2836" s="594" t="s">
        <v>614</v>
      </c>
    </row>
    <row r="2837" ht="15.75">
      <c r="H2837" s="11" t="s">
        <v>615</v>
      </c>
    </row>
    <row r="2838" ht="15.75">
      <c r="H2838" s="11" t="s">
        <v>47</v>
      </c>
    </row>
    <row r="2839" ht="15.75">
      <c r="A2839" s="595"/>
    </row>
    <row r="2840" ht="15.75">
      <c r="A2840" s="3" t="s">
        <v>792</v>
      </c>
    </row>
    <row r="2841" spans="1:8" ht="12.75" customHeight="1">
      <c r="A2841" s="717" t="s">
        <v>0</v>
      </c>
      <c r="B2841" s="714"/>
      <c r="C2841" s="714"/>
      <c r="D2841" s="714"/>
      <c r="E2841" s="714"/>
      <c r="F2841" s="714"/>
      <c r="G2841" s="714"/>
      <c r="H2841" s="714"/>
    </row>
    <row r="2842" spans="1:8" ht="16.5" thickBot="1">
      <c r="A2842" s="597"/>
      <c r="B2842" s="597"/>
      <c r="C2842" s="598"/>
      <c r="D2842" s="598"/>
      <c r="E2842" s="598"/>
      <c r="F2842" s="598"/>
      <c r="G2842" s="598"/>
      <c r="H2842" s="598"/>
    </row>
    <row r="2843" spans="1:8" ht="12.75" customHeight="1">
      <c r="A2843" s="708" t="s">
        <v>617</v>
      </c>
      <c r="B2843" s="710" t="s">
        <v>618</v>
      </c>
      <c r="C2843" s="711" t="s">
        <v>619</v>
      </c>
      <c r="D2843" s="711"/>
      <c r="E2843" s="711"/>
      <c r="F2843" s="711"/>
      <c r="G2843" s="712" t="s">
        <v>620</v>
      </c>
      <c r="H2843" s="708" t="s">
        <v>621</v>
      </c>
    </row>
    <row r="2844" spans="1:8" ht="15.75">
      <c r="A2844" s="708"/>
      <c r="B2844" s="710"/>
      <c r="C2844" s="711"/>
      <c r="D2844" s="711"/>
      <c r="E2844" s="711"/>
      <c r="F2844" s="711"/>
      <c r="G2844" s="712"/>
      <c r="H2844" s="708"/>
    </row>
    <row r="2845" spans="1:8" ht="31.5">
      <c r="A2845" s="708"/>
      <c r="B2845" s="710"/>
      <c r="C2845" s="601" t="s">
        <v>622</v>
      </c>
      <c r="D2845" s="601" t="s">
        <v>623</v>
      </c>
      <c r="E2845" s="602" t="s">
        <v>622</v>
      </c>
      <c r="F2845" s="603" t="s">
        <v>623</v>
      </c>
      <c r="G2845" s="712"/>
      <c r="H2845" s="708"/>
    </row>
    <row r="2846" spans="1:8" ht="15.75">
      <c r="A2846" s="599">
        <v>1</v>
      </c>
      <c r="B2846" s="599">
        <v>2</v>
      </c>
      <c r="C2846" s="604">
        <v>3</v>
      </c>
      <c r="D2846" s="604">
        <v>4</v>
      </c>
      <c r="E2846" s="605"/>
      <c r="F2846" s="606"/>
      <c r="G2846" s="600">
        <v>5</v>
      </c>
      <c r="H2846" s="599">
        <v>6</v>
      </c>
    </row>
    <row r="2847" spans="1:8" ht="12.75" customHeight="1">
      <c r="A2847" s="607">
        <v>1</v>
      </c>
      <c r="B2847" s="709" t="s">
        <v>624</v>
      </c>
      <c r="C2847" s="709"/>
      <c r="D2847" s="709"/>
      <c r="E2847" s="709"/>
      <c r="F2847" s="709"/>
      <c r="G2847" s="709"/>
      <c r="H2847" s="709"/>
    </row>
    <row r="2848" spans="1:8" ht="15.75">
      <c r="A2848" s="608" t="s">
        <v>74</v>
      </c>
      <c r="B2848" s="609" t="s">
        <v>625</v>
      </c>
      <c r="C2848" s="610" t="s">
        <v>379</v>
      </c>
      <c r="D2848" s="610" t="s">
        <v>379</v>
      </c>
      <c r="E2848" s="610" t="s">
        <v>379</v>
      </c>
      <c r="F2848" s="610" t="s">
        <v>379</v>
      </c>
      <c r="G2848" s="610" t="s">
        <v>379</v>
      </c>
      <c r="H2848" s="611" t="s">
        <v>626</v>
      </c>
    </row>
    <row r="2849" spans="1:8" ht="15.75">
      <c r="A2849" s="608" t="s">
        <v>313</v>
      </c>
      <c r="B2849" s="609" t="s">
        <v>627</v>
      </c>
      <c r="C2849" s="610" t="s">
        <v>379</v>
      </c>
      <c r="D2849" s="610" t="s">
        <v>379</v>
      </c>
      <c r="E2849" s="610" t="s">
        <v>379</v>
      </c>
      <c r="F2849" s="610" t="s">
        <v>379</v>
      </c>
      <c r="G2849" s="610" t="s">
        <v>379</v>
      </c>
      <c r="H2849" s="611" t="s">
        <v>626</v>
      </c>
    </row>
    <row r="2850" spans="1:8" ht="31.5">
      <c r="A2850" s="608" t="s">
        <v>315</v>
      </c>
      <c r="B2850" s="612" t="s">
        <v>628</v>
      </c>
      <c r="C2850" s="610" t="s">
        <v>379</v>
      </c>
      <c r="D2850" s="610" t="s">
        <v>379</v>
      </c>
      <c r="E2850" s="610" t="s">
        <v>379</v>
      </c>
      <c r="F2850" s="610" t="s">
        <v>379</v>
      </c>
      <c r="G2850" s="610" t="s">
        <v>379</v>
      </c>
      <c r="H2850" s="611" t="s">
        <v>626</v>
      </c>
    </row>
    <row r="2851" spans="1:8" ht="47.25">
      <c r="A2851" s="608" t="s">
        <v>317</v>
      </c>
      <c r="B2851" s="612" t="s">
        <v>629</v>
      </c>
      <c r="C2851" s="610" t="s">
        <v>379</v>
      </c>
      <c r="D2851" s="610" t="s">
        <v>379</v>
      </c>
      <c r="E2851" s="610" t="s">
        <v>379</v>
      </c>
      <c r="F2851" s="610" t="s">
        <v>379</v>
      </c>
      <c r="G2851" s="610" t="s">
        <v>379</v>
      </c>
      <c r="H2851" s="611" t="s">
        <v>626</v>
      </c>
    </row>
    <row r="2852" spans="1:8" ht="15.75">
      <c r="A2852" s="608" t="s">
        <v>630</v>
      </c>
      <c r="B2852" s="613" t="s">
        <v>631</v>
      </c>
      <c r="C2852" s="610" t="s">
        <v>379</v>
      </c>
      <c r="D2852" s="610" t="s">
        <v>379</v>
      </c>
      <c r="E2852" s="610" t="s">
        <v>379</v>
      </c>
      <c r="F2852" s="610" t="s">
        <v>379</v>
      </c>
      <c r="G2852" s="610" t="s">
        <v>379</v>
      </c>
      <c r="H2852" s="611" t="s">
        <v>626</v>
      </c>
    </row>
    <row r="2853" spans="1:8" ht="15.75">
      <c r="A2853" s="608" t="s">
        <v>632</v>
      </c>
      <c r="B2853" s="613" t="s">
        <v>633</v>
      </c>
      <c r="C2853" s="610" t="s">
        <v>379</v>
      </c>
      <c r="D2853" s="610" t="s">
        <v>379</v>
      </c>
      <c r="E2853" s="610" t="s">
        <v>379</v>
      </c>
      <c r="F2853" s="610" t="s">
        <v>379</v>
      </c>
      <c r="G2853" s="610" t="s">
        <v>379</v>
      </c>
      <c r="H2853" s="611" t="s">
        <v>626</v>
      </c>
    </row>
    <row r="2854" spans="1:8" ht="12.75" customHeight="1">
      <c r="A2854" s="608">
        <v>2</v>
      </c>
      <c r="B2854" s="706" t="s">
        <v>634</v>
      </c>
      <c r="C2854" s="706"/>
      <c r="D2854" s="706"/>
      <c r="E2854" s="706"/>
      <c r="F2854" s="706"/>
      <c r="G2854" s="706"/>
      <c r="H2854" s="706"/>
    </row>
    <row r="2855" spans="1:8" ht="31.5">
      <c r="A2855" s="608" t="s">
        <v>321</v>
      </c>
      <c r="B2855" s="612" t="s">
        <v>635</v>
      </c>
      <c r="C2855" s="610" t="s">
        <v>676</v>
      </c>
      <c r="D2855" s="610" t="s">
        <v>677</v>
      </c>
      <c r="E2855" s="610" t="s">
        <v>379</v>
      </c>
      <c r="F2855" s="610" t="s">
        <v>379</v>
      </c>
      <c r="G2855" s="614">
        <v>0</v>
      </c>
      <c r="H2855" s="611"/>
    </row>
    <row r="2856" spans="1:8" ht="47.25">
      <c r="A2856" s="608" t="s">
        <v>325</v>
      </c>
      <c r="B2856" s="612" t="s">
        <v>638</v>
      </c>
      <c r="C2856" s="610" t="s">
        <v>379</v>
      </c>
      <c r="D2856" s="610" t="s">
        <v>379</v>
      </c>
      <c r="E2856" s="610" t="s">
        <v>379</v>
      </c>
      <c r="F2856" s="610" t="s">
        <v>379</v>
      </c>
      <c r="G2856" s="610" t="s">
        <v>379</v>
      </c>
      <c r="H2856" s="611" t="s">
        <v>626</v>
      </c>
    </row>
    <row r="2857" spans="1:8" ht="31.5">
      <c r="A2857" s="608" t="s">
        <v>639</v>
      </c>
      <c r="B2857" s="612" t="s">
        <v>640</v>
      </c>
      <c r="C2857" s="610" t="s">
        <v>379</v>
      </c>
      <c r="D2857" s="610" t="s">
        <v>379</v>
      </c>
      <c r="E2857" s="610" t="s">
        <v>379</v>
      </c>
      <c r="F2857" s="610" t="s">
        <v>379</v>
      </c>
      <c r="G2857" s="610" t="s">
        <v>379</v>
      </c>
      <c r="H2857" s="611" t="s">
        <v>626</v>
      </c>
    </row>
    <row r="2858" spans="1:8" ht="12.75" customHeight="1">
      <c r="A2858" s="608">
        <v>3</v>
      </c>
      <c r="B2858" s="706" t="s">
        <v>641</v>
      </c>
      <c r="C2858" s="706"/>
      <c r="D2858" s="706"/>
      <c r="E2858" s="706"/>
      <c r="F2858" s="706"/>
      <c r="G2858" s="706"/>
      <c r="H2858" s="706"/>
    </row>
    <row r="2859" spans="1:8" ht="31.5">
      <c r="A2859" s="608" t="s">
        <v>378</v>
      </c>
      <c r="B2859" s="613" t="s">
        <v>642</v>
      </c>
      <c r="C2859" s="610" t="s">
        <v>379</v>
      </c>
      <c r="D2859" s="610" t="s">
        <v>379</v>
      </c>
      <c r="E2859" s="610" t="s">
        <v>379</v>
      </c>
      <c r="F2859" s="610" t="s">
        <v>379</v>
      </c>
      <c r="G2859" s="610" t="s">
        <v>379</v>
      </c>
      <c r="H2859" s="611" t="s">
        <v>626</v>
      </c>
    </row>
    <row r="2860" spans="1:8" ht="15.75">
      <c r="A2860" s="608" t="s">
        <v>643</v>
      </c>
      <c r="B2860" s="613" t="s">
        <v>644</v>
      </c>
      <c r="C2860" s="610" t="s">
        <v>676</v>
      </c>
      <c r="D2860" s="610" t="s">
        <v>678</v>
      </c>
      <c r="E2860" s="610" t="s">
        <v>379</v>
      </c>
      <c r="F2860" s="610" t="s">
        <v>379</v>
      </c>
      <c r="G2860" s="614">
        <v>0</v>
      </c>
      <c r="H2860" s="611"/>
    </row>
    <row r="2861" spans="1:8" ht="15.75">
      <c r="A2861" s="608" t="s">
        <v>380</v>
      </c>
      <c r="B2861" s="613" t="s">
        <v>646</v>
      </c>
      <c r="C2861" s="610" t="s">
        <v>679</v>
      </c>
      <c r="D2861" s="610" t="s">
        <v>680</v>
      </c>
      <c r="E2861" s="610" t="s">
        <v>379</v>
      </c>
      <c r="F2861" s="610" t="s">
        <v>379</v>
      </c>
      <c r="G2861" s="614">
        <v>0</v>
      </c>
      <c r="H2861" s="611"/>
    </row>
    <row r="2862" spans="1:8" ht="15.75">
      <c r="A2862" s="608" t="s">
        <v>649</v>
      </c>
      <c r="B2862" s="613" t="s">
        <v>650</v>
      </c>
      <c r="C2862" s="610" t="s">
        <v>681</v>
      </c>
      <c r="D2862" s="610" t="s">
        <v>682</v>
      </c>
      <c r="E2862" s="610" t="s">
        <v>379</v>
      </c>
      <c r="F2862" s="610" t="s">
        <v>379</v>
      </c>
      <c r="G2862" s="614">
        <v>0</v>
      </c>
      <c r="H2862" s="611"/>
    </row>
    <row r="2863" spans="1:8" ht="15.75">
      <c r="A2863" s="608" t="s">
        <v>653</v>
      </c>
      <c r="B2863" s="613" t="s">
        <v>654</v>
      </c>
      <c r="C2863" s="610" t="s">
        <v>682</v>
      </c>
      <c r="D2863" s="610" t="s">
        <v>677</v>
      </c>
      <c r="E2863" s="610" t="s">
        <v>379</v>
      </c>
      <c r="F2863" s="610" t="s">
        <v>379</v>
      </c>
      <c r="G2863" s="614">
        <v>0</v>
      </c>
      <c r="H2863" s="611"/>
    </row>
    <row r="2864" spans="1:8" ht="12.75" customHeight="1">
      <c r="A2864" s="608">
        <v>4</v>
      </c>
      <c r="B2864" s="706" t="s">
        <v>656</v>
      </c>
      <c r="C2864" s="706"/>
      <c r="D2864" s="706"/>
      <c r="E2864" s="706"/>
      <c r="F2864" s="706"/>
      <c r="G2864" s="706"/>
      <c r="H2864" s="706"/>
    </row>
    <row r="2865" spans="1:8" ht="31.5">
      <c r="A2865" s="608" t="s">
        <v>657</v>
      </c>
      <c r="B2865" s="612" t="s">
        <v>658</v>
      </c>
      <c r="C2865" s="610" t="s">
        <v>379</v>
      </c>
      <c r="D2865" s="610" t="s">
        <v>379</v>
      </c>
      <c r="E2865" s="610" t="s">
        <v>379</v>
      </c>
      <c r="F2865" s="610" t="s">
        <v>379</v>
      </c>
      <c r="G2865" s="610" t="s">
        <v>379</v>
      </c>
      <c r="H2865" s="611" t="s">
        <v>626</v>
      </c>
    </row>
    <row r="2866" spans="1:8" ht="47.25">
      <c r="A2866" s="608" t="s">
        <v>659</v>
      </c>
      <c r="B2866" s="612" t="s">
        <v>660</v>
      </c>
      <c r="C2866" s="610" t="s">
        <v>379</v>
      </c>
      <c r="D2866" s="610" t="s">
        <v>379</v>
      </c>
      <c r="E2866" s="610" t="s">
        <v>379</v>
      </c>
      <c r="F2866" s="610" t="s">
        <v>379</v>
      </c>
      <c r="G2866" s="610" t="s">
        <v>379</v>
      </c>
      <c r="H2866" s="611" t="s">
        <v>626</v>
      </c>
    </row>
    <row r="2867" spans="1:8" ht="31.5">
      <c r="A2867" s="608" t="s">
        <v>661</v>
      </c>
      <c r="B2867" s="613" t="s">
        <v>662</v>
      </c>
      <c r="C2867" s="610" t="s">
        <v>379</v>
      </c>
      <c r="D2867" s="610" t="s">
        <v>379</v>
      </c>
      <c r="E2867" s="610" t="s">
        <v>379</v>
      </c>
      <c r="F2867" s="610" t="s">
        <v>379</v>
      </c>
      <c r="G2867" s="610" t="s">
        <v>379</v>
      </c>
      <c r="H2867" s="611" t="s">
        <v>626</v>
      </c>
    </row>
    <row r="2868" spans="1:8" ht="31.5">
      <c r="A2868" s="615" t="s">
        <v>663</v>
      </c>
      <c r="B2868" s="616" t="s">
        <v>664</v>
      </c>
      <c r="C2868" s="617" t="s">
        <v>379</v>
      </c>
      <c r="D2868" s="617" t="s">
        <v>379</v>
      </c>
      <c r="E2868" s="617" t="s">
        <v>379</v>
      </c>
      <c r="F2868" s="617" t="s">
        <v>379</v>
      </c>
      <c r="G2868" s="617" t="s">
        <v>379</v>
      </c>
      <c r="H2868" s="618" t="s">
        <v>626</v>
      </c>
    </row>
    <row r="2869" spans="1:8" ht="15.75">
      <c r="A2869" s="619"/>
      <c r="B2869" s="620"/>
      <c r="C2869" s="621"/>
      <c r="D2869" s="621"/>
      <c r="E2869" s="621"/>
      <c r="F2869" s="621"/>
      <c r="G2869" s="621"/>
      <c r="H2869" s="148"/>
    </row>
    <row r="2870" spans="1:8" ht="12.75" customHeight="1">
      <c r="A2870" s="707" t="s">
        <v>665</v>
      </c>
      <c r="B2870" s="707"/>
      <c r="C2870" s="707"/>
      <c r="D2870" s="707"/>
      <c r="E2870" s="707"/>
      <c r="F2870" s="707"/>
      <c r="G2870" s="707"/>
      <c r="H2870" s="707"/>
    </row>
    <row r="2874" ht="15.75">
      <c r="H2874" s="11" t="s">
        <v>609</v>
      </c>
    </row>
    <row r="2875" ht="15.75">
      <c r="H2875" s="11" t="s">
        <v>610</v>
      </c>
    </row>
    <row r="2876" ht="15.75">
      <c r="H2876" s="11" t="s">
        <v>611</v>
      </c>
    </row>
    <row r="2877" ht="15.75">
      <c r="H2877" s="11"/>
    </row>
    <row r="2878" spans="1:8" ht="12.75" customHeight="1">
      <c r="A2878" s="713" t="s">
        <v>612</v>
      </c>
      <c r="B2878" s="713"/>
      <c r="C2878" s="713"/>
      <c r="D2878" s="713"/>
      <c r="E2878" s="713"/>
      <c r="F2878" s="713"/>
      <c r="G2878" s="713"/>
      <c r="H2878" s="713"/>
    </row>
    <row r="2879" spans="1:8" ht="12.75" customHeight="1">
      <c r="A2879" s="713" t="s">
        <v>613</v>
      </c>
      <c r="B2879" s="713"/>
      <c r="C2879" s="713"/>
      <c r="D2879" s="713"/>
      <c r="E2879" s="713"/>
      <c r="F2879" s="713"/>
      <c r="G2879" s="713"/>
      <c r="H2879" s="713"/>
    </row>
    <row r="2880" ht="15.75">
      <c r="H2880" s="11" t="s">
        <v>43</v>
      </c>
    </row>
    <row r="2881" ht="15.75">
      <c r="H2881" s="11" t="s">
        <v>44</v>
      </c>
    </row>
    <row r="2882" ht="15.75">
      <c r="H2882" s="11" t="s">
        <v>45</v>
      </c>
    </row>
    <row r="2883" ht="15.75">
      <c r="H2883" s="594" t="s">
        <v>614</v>
      </c>
    </row>
    <row r="2884" ht="15.75">
      <c r="H2884" s="11" t="s">
        <v>615</v>
      </c>
    </row>
    <row r="2885" ht="15.75">
      <c r="H2885" s="11" t="s">
        <v>47</v>
      </c>
    </row>
    <row r="2886" ht="15.75">
      <c r="A2886" s="595"/>
    </row>
    <row r="2887" ht="15.75">
      <c r="A2887" s="3" t="s">
        <v>793</v>
      </c>
    </row>
    <row r="2888" spans="1:8" ht="12.75" customHeight="1">
      <c r="A2888" s="717" t="s">
        <v>0</v>
      </c>
      <c r="B2888" s="714"/>
      <c r="C2888" s="714"/>
      <c r="D2888" s="714"/>
      <c r="E2888" s="714"/>
      <c r="F2888" s="714"/>
      <c r="G2888" s="714"/>
      <c r="H2888" s="714"/>
    </row>
    <row r="2889" spans="1:8" ht="16.5" thickBot="1">
      <c r="A2889" s="597"/>
      <c r="B2889" s="597"/>
      <c r="C2889" s="598"/>
      <c r="D2889" s="598"/>
      <c r="E2889" s="598"/>
      <c r="F2889" s="598"/>
      <c r="G2889" s="598"/>
      <c r="H2889" s="598"/>
    </row>
    <row r="2890" spans="1:8" ht="12.75" customHeight="1">
      <c r="A2890" s="708" t="s">
        <v>617</v>
      </c>
      <c r="B2890" s="710" t="s">
        <v>618</v>
      </c>
      <c r="C2890" s="711" t="s">
        <v>619</v>
      </c>
      <c r="D2890" s="711"/>
      <c r="E2890" s="711"/>
      <c r="F2890" s="711"/>
      <c r="G2890" s="712" t="s">
        <v>620</v>
      </c>
      <c r="H2890" s="708" t="s">
        <v>621</v>
      </c>
    </row>
    <row r="2891" spans="1:8" ht="15.75">
      <c r="A2891" s="708"/>
      <c r="B2891" s="710"/>
      <c r="C2891" s="711"/>
      <c r="D2891" s="711"/>
      <c r="E2891" s="711"/>
      <c r="F2891" s="711"/>
      <c r="G2891" s="712"/>
      <c r="H2891" s="708"/>
    </row>
    <row r="2892" spans="1:8" ht="31.5">
      <c r="A2892" s="708"/>
      <c r="B2892" s="710"/>
      <c r="C2892" s="601" t="s">
        <v>622</v>
      </c>
      <c r="D2892" s="601" t="s">
        <v>623</v>
      </c>
      <c r="E2892" s="602" t="s">
        <v>622</v>
      </c>
      <c r="F2892" s="603" t="s">
        <v>623</v>
      </c>
      <c r="G2892" s="712"/>
      <c r="H2892" s="708"/>
    </row>
    <row r="2893" spans="1:8" ht="15.75">
      <c r="A2893" s="599">
        <v>1</v>
      </c>
      <c r="B2893" s="599">
        <v>2</v>
      </c>
      <c r="C2893" s="604">
        <v>3</v>
      </c>
      <c r="D2893" s="604">
        <v>4</v>
      </c>
      <c r="E2893" s="605"/>
      <c r="F2893" s="606"/>
      <c r="G2893" s="600">
        <v>5</v>
      </c>
      <c r="H2893" s="599">
        <v>6</v>
      </c>
    </row>
    <row r="2894" spans="1:8" ht="12.75" customHeight="1">
      <c r="A2894" s="607">
        <v>1</v>
      </c>
      <c r="B2894" s="709" t="s">
        <v>624</v>
      </c>
      <c r="C2894" s="709"/>
      <c r="D2894" s="709"/>
      <c r="E2894" s="709"/>
      <c r="F2894" s="709"/>
      <c r="G2894" s="709"/>
      <c r="H2894" s="709"/>
    </row>
    <row r="2895" spans="1:8" ht="15.75">
      <c r="A2895" s="608" t="s">
        <v>74</v>
      </c>
      <c r="B2895" s="609" t="s">
        <v>625</v>
      </c>
      <c r="C2895" s="610" t="s">
        <v>379</v>
      </c>
      <c r="D2895" s="610" t="s">
        <v>379</v>
      </c>
      <c r="E2895" s="610" t="s">
        <v>379</v>
      </c>
      <c r="F2895" s="610" t="s">
        <v>379</v>
      </c>
      <c r="G2895" s="610" t="s">
        <v>379</v>
      </c>
      <c r="H2895" s="611" t="s">
        <v>626</v>
      </c>
    </row>
    <row r="2896" spans="1:8" ht="15.75">
      <c r="A2896" s="608" t="s">
        <v>313</v>
      </c>
      <c r="B2896" s="609" t="s">
        <v>627</v>
      </c>
      <c r="C2896" s="610" t="s">
        <v>379</v>
      </c>
      <c r="D2896" s="610" t="s">
        <v>379</v>
      </c>
      <c r="E2896" s="610" t="s">
        <v>379</v>
      </c>
      <c r="F2896" s="610" t="s">
        <v>379</v>
      </c>
      <c r="G2896" s="610" t="s">
        <v>379</v>
      </c>
      <c r="H2896" s="611" t="s">
        <v>626</v>
      </c>
    </row>
    <row r="2897" spans="1:8" ht="31.5">
      <c r="A2897" s="608" t="s">
        <v>315</v>
      </c>
      <c r="B2897" s="612" t="s">
        <v>628</v>
      </c>
      <c r="C2897" s="610" t="s">
        <v>379</v>
      </c>
      <c r="D2897" s="610" t="s">
        <v>379</v>
      </c>
      <c r="E2897" s="610" t="s">
        <v>379</v>
      </c>
      <c r="F2897" s="610" t="s">
        <v>379</v>
      </c>
      <c r="G2897" s="610" t="s">
        <v>379</v>
      </c>
      <c r="H2897" s="611" t="s">
        <v>626</v>
      </c>
    </row>
    <row r="2898" spans="1:8" ht="47.25">
      <c r="A2898" s="608" t="s">
        <v>317</v>
      </c>
      <c r="B2898" s="612" t="s">
        <v>629</v>
      </c>
      <c r="C2898" s="610" t="s">
        <v>379</v>
      </c>
      <c r="D2898" s="610" t="s">
        <v>379</v>
      </c>
      <c r="E2898" s="610" t="s">
        <v>379</v>
      </c>
      <c r="F2898" s="610" t="s">
        <v>379</v>
      </c>
      <c r="G2898" s="610" t="s">
        <v>379</v>
      </c>
      <c r="H2898" s="611" t="s">
        <v>626</v>
      </c>
    </row>
    <row r="2899" spans="1:8" ht="15.75">
      <c r="A2899" s="608" t="s">
        <v>630</v>
      </c>
      <c r="B2899" s="613" t="s">
        <v>631</v>
      </c>
      <c r="C2899" s="610" t="s">
        <v>379</v>
      </c>
      <c r="D2899" s="610" t="s">
        <v>379</v>
      </c>
      <c r="E2899" s="610" t="s">
        <v>379</v>
      </c>
      <c r="F2899" s="610" t="s">
        <v>379</v>
      </c>
      <c r="G2899" s="610" t="s">
        <v>379</v>
      </c>
      <c r="H2899" s="611" t="s">
        <v>626</v>
      </c>
    </row>
    <row r="2900" spans="1:8" ht="15.75">
      <c r="A2900" s="608" t="s">
        <v>632</v>
      </c>
      <c r="B2900" s="613" t="s">
        <v>633</v>
      </c>
      <c r="C2900" s="610" t="s">
        <v>379</v>
      </c>
      <c r="D2900" s="610" t="s">
        <v>379</v>
      </c>
      <c r="E2900" s="610" t="s">
        <v>379</v>
      </c>
      <c r="F2900" s="610" t="s">
        <v>379</v>
      </c>
      <c r="G2900" s="610" t="s">
        <v>379</v>
      </c>
      <c r="H2900" s="611" t="s">
        <v>626</v>
      </c>
    </row>
    <row r="2901" spans="1:8" ht="12.75" customHeight="1">
      <c r="A2901" s="608">
        <v>2</v>
      </c>
      <c r="B2901" s="706" t="s">
        <v>634</v>
      </c>
      <c r="C2901" s="706"/>
      <c r="D2901" s="706"/>
      <c r="E2901" s="706"/>
      <c r="F2901" s="706"/>
      <c r="G2901" s="706"/>
      <c r="H2901" s="706"/>
    </row>
    <row r="2902" spans="1:8" ht="31.5">
      <c r="A2902" s="608" t="s">
        <v>321</v>
      </c>
      <c r="B2902" s="612" t="s">
        <v>635</v>
      </c>
      <c r="C2902" s="610" t="s">
        <v>685</v>
      </c>
      <c r="D2902" s="610" t="s">
        <v>764</v>
      </c>
      <c r="E2902" s="610" t="s">
        <v>379</v>
      </c>
      <c r="F2902" s="610" t="s">
        <v>379</v>
      </c>
      <c r="G2902" s="614">
        <v>0</v>
      </c>
      <c r="H2902" s="611"/>
    </row>
    <row r="2903" spans="1:8" ht="47.25">
      <c r="A2903" s="608" t="s">
        <v>325</v>
      </c>
      <c r="B2903" s="612" t="s">
        <v>638</v>
      </c>
      <c r="C2903" s="610" t="s">
        <v>379</v>
      </c>
      <c r="D2903" s="610" t="s">
        <v>379</v>
      </c>
      <c r="E2903" s="610" t="s">
        <v>379</v>
      </c>
      <c r="F2903" s="610" t="s">
        <v>379</v>
      </c>
      <c r="G2903" s="610" t="s">
        <v>379</v>
      </c>
      <c r="H2903" s="611" t="s">
        <v>626</v>
      </c>
    </row>
    <row r="2904" spans="1:8" ht="31.5">
      <c r="A2904" s="608" t="s">
        <v>639</v>
      </c>
      <c r="B2904" s="612" t="s">
        <v>640</v>
      </c>
      <c r="C2904" s="610" t="s">
        <v>379</v>
      </c>
      <c r="D2904" s="610" t="s">
        <v>379</v>
      </c>
      <c r="E2904" s="610" t="s">
        <v>379</v>
      </c>
      <c r="F2904" s="610" t="s">
        <v>379</v>
      </c>
      <c r="G2904" s="610" t="s">
        <v>379</v>
      </c>
      <c r="H2904" s="611" t="s">
        <v>626</v>
      </c>
    </row>
    <row r="2905" spans="1:8" ht="12.75" customHeight="1">
      <c r="A2905" s="608">
        <v>3</v>
      </c>
      <c r="B2905" s="706" t="s">
        <v>641</v>
      </c>
      <c r="C2905" s="706"/>
      <c r="D2905" s="706"/>
      <c r="E2905" s="706"/>
      <c r="F2905" s="706"/>
      <c r="G2905" s="706"/>
      <c r="H2905" s="706"/>
    </row>
    <row r="2906" spans="1:8" ht="31.5">
      <c r="A2906" s="608" t="s">
        <v>378</v>
      </c>
      <c r="B2906" s="613" t="s">
        <v>642</v>
      </c>
      <c r="C2906" s="610" t="s">
        <v>379</v>
      </c>
      <c r="D2906" s="610" t="s">
        <v>379</v>
      </c>
      <c r="E2906" s="610" t="s">
        <v>379</v>
      </c>
      <c r="F2906" s="610" t="s">
        <v>379</v>
      </c>
      <c r="G2906" s="610" t="s">
        <v>379</v>
      </c>
      <c r="H2906" s="611" t="s">
        <v>626</v>
      </c>
    </row>
    <row r="2907" spans="1:8" ht="15.75">
      <c r="A2907" s="608" t="s">
        <v>643</v>
      </c>
      <c r="B2907" s="613" t="s">
        <v>644</v>
      </c>
      <c r="C2907" s="610" t="s">
        <v>685</v>
      </c>
      <c r="D2907" s="610" t="s">
        <v>794</v>
      </c>
      <c r="E2907" s="610" t="s">
        <v>379</v>
      </c>
      <c r="F2907" s="610" t="s">
        <v>379</v>
      </c>
      <c r="G2907" s="614">
        <v>0</v>
      </c>
      <c r="H2907" s="611"/>
    </row>
    <row r="2908" spans="1:8" ht="15.75">
      <c r="A2908" s="608" t="s">
        <v>380</v>
      </c>
      <c r="B2908" s="613" t="s">
        <v>646</v>
      </c>
      <c r="C2908" s="610" t="s">
        <v>688</v>
      </c>
      <c r="D2908" s="610" t="s">
        <v>767</v>
      </c>
      <c r="E2908" s="610" t="s">
        <v>379</v>
      </c>
      <c r="F2908" s="610" t="s">
        <v>379</v>
      </c>
      <c r="G2908" s="614">
        <v>0</v>
      </c>
      <c r="H2908" s="611"/>
    </row>
    <row r="2909" spans="1:8" ht="15.75">
      <c r="A2909" s="608" t="s">
        <v>649</v>
      </c>
      <c r="B2909" s="613" t="s">
        <v>650</v>
      </c>
      <c r="C2909" s="610" t="s">
        <v>690</v>
      </c>
      <c r="D2909" s="610" t="s">
        <v>795</v>
      </c>
      <c r="E2909" s="610" t="s">
        <v>379</v>
      </c>
      <c r="F2909" s="610" t="s">
        <v>379</v>
      </c>
      <c r="G2909" s="614">
        <v>0</v>
      </c>
      <c r="H2909" s="611"/>
    </row>
    <row r="2910" spans="1:8" ht="15.75">
      <c r="A2910" s="608" t="s">
        <v>653</v>
      </c>
      <c r="B2910" s="613" t="s">
        <v>654</v>
      </c>
      <c r="C2910" s="610" t="s">
        <v>796</v>
      </c>
      <c r="D2910" s="610" t="s">
        <v>764</v>
      </c>
      <c r="E2910" s="610" t="s">
        <v>379</v>
      </c>
      <c r="F2910" s="610" t="s">
        <v>379</v>
      </c>
      <c r="G2910" s="614">
        <v>0</v>
      </c>
      <c r="H2910" s="611"/>
    </row>
    <row r="2911" spans="1:8" ht="12.75" customHeight="1">
      <c r="A2911" s="608">
        <v>4</v>
      </c>
      <c r="B2911" s="706" t="s">
        <v>656</v>
      </c>
      <c r="C2911" s="706"/>
      <c r="D2911" s="706"/>
      <c r="E2911" s="706"/>
      <c r="F2911" s="706"/>
      <c r="G2911" s="706"/>
      <c r="H2911" s="706"/>
    </row>
    <row r="2912" spans="1:8" ht="31.5">
      <c r="A2912" s="608" t="s">
        <v>657</v>
      </c>
      <c r="B2912" s="612" t="s">
        <v>658</v>
      </c>
      <c r="C2912" s="610" t="s">
        <v>379</v>
      </c>
      <c r="D2912" s="610" t="s">
        <v>379</v>
      </c>
      <c r="E2912" s="610" t="s">
        <v>379</v>
      </c>
      <c r="F2912" s="610" t="s">
        <v>379</v>
      </c>
      <c r="G2912" s="610" t="s">
        <v>379</v>
      </c>
      <c r="H2912" s="611" t="s">
        <v>626</v>
      </c>
    </row>
    <row r="2913" spans="1:8" ht="47.25">
      <c r="A2913" s="608" t="s">
        <v>659</v>
      </c>
      <c r="B2913" s="612" t="s">
        <v>660</v>
      </c>
      <c r="C2913" s="610" t="s">
        <v>379</v>
      </c>
      <c r="D2913" s="610" t="s">
        <v>379</v>
      </c>
      <c r="E2913" s="610" t="s">
        <v>379</v>
      </c>
      <c r="F2913" s="610" t="s">
        <v>379</v>
      </c>
      <c r="G2913" s="610" t="s">
        <v>379</v>
      </c>
      <c r="H2913" s="611" t="s">
        <v>626</v>
      </c>
    </row>
    <row r="2914" spans="1:8" ht="31.5">
      <c r="A2914" s="608" t="s">
        <v>661</v>
      </c>
      <c r="B2914" s="613" t="s">
        <v>662</v>
      </c>
      <c r="C2914" s="610" t="s">
        <v>379</v>
      </c>
      <c r="D2914" s="610" t="s">
        <v>379</v>
      </c>
      <c r="E2914" s="610" t="s">
        <v>379</v>
      </c>
      <c r="F2914" s="610" t="s">
        <v>379</v>
      </c>
      <c r="G2914" s="610" t="s">
        <v>379</v>
      </c>
      <c r="H2914" s="611" t="s">
        <v>626</v>
      </c>
    </row>
    <row r="2915" spans="1:8" ht="31.5">
      <c r="A2915" s="615" t="s">
        <v>663</v>
      </c>
      <c r="B2915" s="616" t="s">
        <v>664</v>
      </c>
      <c r="C2915" s="617" t="s">
        <v>379</v>
      </c>
      <c r="D2915" s="617" t="s">
        <v>379</v>
      </c>
      <c r="E2915" s="617" t="s">
        <v>379</v>
      </c>
      <c r="F2915" s="617" t="s">
        <v>379</v>
      </c>
      <c r="G2915" s="617" t="s">
        <v>379</v>
      </c>
      <c r="H2915" s="618" t="s">
        <v>626</v>
      </c>
    </row>
    <row r="2916" spans="1:8" ht="15.75">
      <c r="A2916" s="619"/>
      <c r="B2916" s="620"/>
      <c r="C2916" s="621"/>
      <c r="D2916" s="621"/>
      <c r="E2916" s="621"/>
      <c r="F2916" s="621"/>
      <c r="G2916" s="621"/>
      <c r="H2916" s="148"/>
    </row>
    <row r="2917" spans="1:8" ht="12.75" customHeight="1">
      <c r="A2917" s="707" t="s">
        <v>665</v>
      </c>
      <c r="B2917" s="707"/>
      <c r="C2917" s="707"/>
      <c r="D2917" s="707"/>
      <c r="E2917" s="707"/>
      <c r="F2917" s="707"/>
      <c r="G2917" s="707"/>
      <c r="H2917" s="707"/>
    </row>
    <row r="2923" ht="15.75">
      <c r="H2923" s="11" t="s">
        <v>609</v>
      </c>
    </row>
    <row r="2924" ht="15.75">
      <c r="H2924" s="11" t="s">
        <v>610</v>
      </c>
    </row>
    <row r="2925" ht="15.75">
      <c r="H2925" s="11" t="s">
        <v>611</v>
      </c>
    </row>
    <row r="2926" ht="15.75">
      <c r="H2926" s="11"/>
    </row>
    <row r="2927" spans="1:8" ht="12.75" customHeight="1">
      <c r="A2927" s="713" t="s">
        <v>612</v>
      </c>
      <c r="B2927" s="713"/>
      <c r="C2927" s="713"/>
      <c r="D2927" s="713"/>
      <c r="E2927" s="713"/>
      <c r="F2927" s="713"/>
      <c r="G2927" s="713"/>
      <c r="H2927" s="713"/>
    </row>
    <row r="2928" spans="1:8" ht="12.75" customHeight="1">
      <c r="A2928" s="713" t="s">
        <v>613</v>
      </c>
      <c r="B2928" s="713"/>
      <c r="C2928" s="713"/>
      <c r="D2928" s="713"/>
      <c r="E2928" s="713"/>
      <c r="F2928" s="713"/>
      <c r="G2928" s="713"/>
      <c r="H2928" s="713"/>
    </row>
    <row r="2929" ht="15.75">
      <c r="H2929" s="11" t="s">
        <v>43</v>
      </c>
    </row>
    <row r="2930" ht="15.75">
      <c r="H2930" s="11" t="s">
        <v>44</v>
      </c>
    </row>
    <row r="2931" ht="15.75">
      <c r="H2931" s="11" t="s">
        <v>45</v>
      </c>
    </row>
    <row r="2932" ht="15.75">
      <c r="H2932" s="594" t="s">
        <v>614</v>
      </c>
    </row>
    <row r="2933" ht="15.75">
      <c r="H2933" s="11" t="s">
        <v>615</v>
      </c>
    </row>
    <row r="2934" ht="15.75">
      <c r="H2934" s="11" t="s">
        <v>47</v>
      </c>
    </row>
    <row r="2935" ht="15.75">
      <c r="A2935" s="595"/>
    </row>
    <row r="2936" ht="15.75">
      <c r="A2936" s="3" t="s">
        <v>797</v>
      </c>
    </row>
    <row r="2937" spans="1:8" ht="12.75" customHeight="1">
      <c r="A2937" s="717" t="s">
        <v>0</v>
      </c>
      <c r="B2937" s="714"/>
      <c r="C2937" s="714"/>
      <c r="D2937" s="714"/>
      <c r="E2937" s="714"/>
      <c r="F2937" s="714"/>
      <c r="G2937" s="714"/>
      <c r="H2937" s="714"/>
    </row>
    <row r="2938" spans="1:8" ht="16.5" thickBot="1">
      <c r="A2938" s="597"/>
      <c r="B2938" s="597"/>
      <c r="C2938" s="598"/>
      <c r="D2938" s="598"/>
      <c r="E2938" s="598"/>
      <c r="F2938" s="598"/>
      <c r="G2938" s="598"/>
      <c r="H2938" s="598"/>
    </row>
    <row r="2939" spans="1:8" ht="12.75" customHeight="1">
      <c r="A2939" s="708" t="s">
        <v>617</v>
      </c>
      <c r="B2939" s="710" t="s">
        <v>618</v>
      </c>
      <c r="C2939" s="711" t="s">
        <v>619</v>
      </c>
      <c r="D2939" s="711"/>
      <c r="E2939" s="711"/>
      <c r="F2939" s="711"/>
      <c r="G2939" s="712" t="s">
        <v>620</v>
      </c>
      <c r="H2939" s="708" t="s">
        <v>621</v>
      </c>
    </row>
    <row r="2940" spans="1:8" ht="15.75">
      <c r="A2940" s="708"/>
      <c r="B2940" s="710"/>
      <c r="C2940" s="711"/>
      <c r="D2940" s="711"/>
      <c r="E2940" s="711"/>
      <c r="F2940" s="711"/>
      <c r="G2940" s="712"/>
      <c r="H2940" s="708"/>
    </row>
    <row r="2941" spans="1:8" ht="31.5">
      <c r="A2941" s="708"/>
      <c r="B2941" s="710"/>
      <c r="C2941" s="601" t="s">
        <v>622</v>
      </c>
      <c r="D2941" s="601" t="s">
        <v>623</v>
      </c>
      <c r="E2941" s="602" t="s">
        <v>622</v>
      </c>
      <c r="F2941" s="603" t="s">
        <v>623</v>
      </c>
      <c r="G2941" s="712"/>
      <c r="H2941" s="708"/>
    </row>
    <row r="2942" spans="1:8" ht="15.75">
      <c r="A2942" s="599">
        <v>1</v>
      </c>
      <c r="B2942" s="599">
        <v>2</v>
      </c>
      <c r="C2942" s="604">
        <v>3</v>
      </c>
      <c r="D2942" s="604">
        <v>4</v>
      </c>
      <c r="E2942" s="605"/>
      <c r="F2942" s="606"/>
      <c r="G2942" s="600">
        <v>5</v>
      </c>
      <c r="H2942" s="599">
        <v>6</v>
      </c>
    </row>
    <row r="2943" spans="1:8" ht="12.75" customHeight="1">
      <c r="A2943" s="607">
        <v>1</v>
      </c>
      <c r="B2943" s="709" t="s">
        <v>624</v>
      </c>
      <c r="C2943" s="709"/>
      <c r="D2943" s="709"/>
      <c r="E2943" s="709"/>
      <c r="F2943" s="709"/>
      <c r="G2943" s="709"/>
      <c r="H2943" s="709"/>
    </row>
    <row r="2944" spans="1:8" ht="15.75">
      <c r="A2944" s="608" t="s">
        <v>74</v>
      </c>
      <c r="B2944" s="609" t="s">
        <v>625</v>
      </c>
      <c r="C2944" s="610" t="s">
        <v>379</v>
      </c>
      <c r="D2944" s="610" t="s">
        <v>379</v>
      </c>
      <c r="E2944" s="610" t="s">
        <v>379</v>
      </c>
      <c r="F2944" s="610" t="s">
        <v>379</v>
      </c>
      <c r="G2944" s="610" t="s">
        <v>379</v>
      </c>
      <c r="H2944" s="611" t="s">
        <v>626</v>
      </c>
    </row>
    <row r="2945" spans="1:8" ht="15.75">
      <c r="A2945" s="608" t="s">
        <v>313</v>
      </c>
      <c r="B2945" s="609" t="s">
        <v>627</v>
      </c>
      <c r="C2945" s="610" t="s">
        <v>379</v>
      </c>
      <c r="D2945" s="610" t="s">
        <v>379</v>
      </c>
      <c r="E2945" s="610" t="s">
        <v>379</v>
      </c>
      <c r="F2945" s="610" t="s">
        <v>379</v>
      </c>
      <c r="G2945" s="610" t="s">
        <v>379</v>
      </c>
      <c r="H2945" s="611" t="s">
        <v>626</v>
      </c>
    </row>
    <row r="2946" spans="1:8" ht="31.5">
      <c r="A2946" s="608" t="s">
        <v>315</v>
      </c>
      <c r="B2946" s="612" t="s">
        <v>628</v>
      </c>
      <c r="C2946" s="610" t="s">
        <v>379</v>
      </c>
      <c r="D2946" s="610" t="s">
        <v>379</v>
      </c>
      <c r="E2946" s="610" t="s">
        <v>379</v>
      </c>
      <c r="F2946" s="610" t="s">
        <v>379</v>
      </c>
      <c r="G2946" s="610" t="s">
        <v>379</v>
      </c>
      <c r="H2946" s="611" t="s">
        <v>626</v>
      </c>
    </row>
    <row r="2947" spans="1:8" ht="47.25">
      <c r="A2947" s="608" t="s">
        <v>317</v>
      </c>
      <c r="B2947" s="612" t="s">
        <v>629</v>
      </c>
      <c r="C2947" s="610" t="s">
        <v>379</v>
      </c>
      <c r="D2947" s="610" t="s">
        <v>379</v>
      </c>
      <c r="E2947" s="610" t="s">
        <v>379</v>
      </c>
      <c r="F2947" s="610" t="s">
        <v>379</v>
      </c>
      <c r="G2947" s="610" t="s">
        <v>379</v>
      </c>
      <c r="H2947" s="611" t="s">
        <v>626</v>
      </c>
    </row>
    <row r="2948" spans="1:8" ht="15.75">
      <c r="A2948" s="608" t="s">
        <v>630</v>
      </c>
      <c r="B2948" s="613" t="s">
        <v>631</v>
      </c>
      <c r="C2948" s="610" t="s">
        <v>379</v>
      </c>
      <c r="D2948" s="610" t="s">
        <v>379</v>
      </c>
      <c r="E2948" s="610" t="s">
        <v>379</v>
      </c>
      <c r="F2948" s="610" t="s">
        <v>379</v>
      </c>
      <c r="G2948" s="610" t="s">
        <v>379</v>
      </c>
      <c r="H2948" s="611" t="s">
        <v>626</v>
      </c>
    </row>
    <row r="2949" spans="1:8" ht="15.75">
      <c r="A2949" s="608" t="s">
        <v>632</v>
      </c>
      <c r="B2949" s="613" t="s">
        <v>633</v>
      </c>
      <c r="C2949" s="610" t="s">
        <v>379</v>
      </c>
      <c r="D2949" s="610" t="s">
        <v>379</v>
      </c>
      <c r="E2949" s="610" t="s">
        <v>379</v>
      </c>
      <c r="F2949" s="610" t="s">
        <v>379</v>
      </c>
      <c r="G2949" s="610" t="s">
        <v>379</v>
      </c>
      <c r="H2949" s="611" t="s">
        <v>626</v>
      </c>
    </row>
    <row r="2950" spans="1:8" ht="12.75" customHeight="1">
      <c r="A2950" s="608">
        <v>2</v>
      </c>
      <c r="B2950" s="706" t="s">
        <v>634</v>
      </c>
      <c r="C2950" s="706"/>
      <c r="D2950" s="706"/>
      <c r="E2950" s="706"/>
      <c r="F2950" s="706"/>
      <c r="G2950" s="706"/>
      <c r="H2950" s="706"/>
    </row>
    <row r="2951" spans="1:8" ht="31.5">
      <c r="A2951" s="608" t="s">
        <v>321</v>
      </c>
      <c r="B2951" s="612" t="s">
        <v>635</v>
      </c>
      <c r="C2951" s="610" t="s">
        <v>676</v>
      </c>
      <c r="D2951" s="610" t="s">
        <v>677</v>
      </c>
      <c r="E2951" s="610" t="s">
        <v>379</v>
      </c>
      <c r="F2951" s="610" t="s">
        <v>379</v>
      </c>
      <c r="G2951" s="614">
        <v>0</v>
      </c>
      <c r="H2951" s="611"/>
    </row>
    <row r="2952" spans="1:8" ht="47.25">
      <c r="A2952" s="608" t="s">
        <v>325</v>
      </c>
      <c r="B2952" s="612" t="s">
        <v>638</v>
      </c>
      <c r="C2952" s="610" t="s">
        <v>379</v>
      </c>
      <c r="D2952" s="610" t="s">
        <v>379</v>
      </c>
      <c r="E2952" s="610" t="s">
        <v>379</v>
      </c>
      <c r="F2952" s="610" t="s">
        <v>379</v>
      </c>
      <c r="G2952" s="610" t="s">
        <v>379</v>
      </c>
      <c r="H2952" s="611" t="s">
        <v>626</v>
      </c>
    </row>
    <row r="2953" spans="1:8" ht="31.5">
      <c r="A2953" s="608" t="s">
        <v>639</v>
      </c>
      <c r="B2953" s="612" t="s">
        <v>640</v>
      </c>
      <c r="C2953" s="610" t="s">
        <v>379</v>
      </c>
      <c r="D2953" s="610" t="s">
        <v>379</v>
      </c>
      <c r="E2953" s="610" t="s">
        <v>379</v>
      </c>
      <c r="F2953" s="610" t="s">
        <v>379</v>
      </c>
      <c r="G2953" s="610" t="s">
        <v>379</v>
      </c>
      <c r="H2953" s="611" t="s">
        <v>626</v>
      </c>
    </row>
    <row r="2954" spans="1:8" ht="12.75" customHeight="1">
      <c r="A2954" s="608">
        <v>3</v>
      </c>
      <c r="B2954" s="706" t="s">
        <v>641</v>
      </c>
      <c r="C2954" s="706"/>
      <c r="D2954" s="706"/>
      <c r="E2954" s="706"/>
      <c r="F2954" s="706"/>
      <c r="G2954" s="706"/>
      <c r="H2954" s="706"/>
    </row>
    <row r="2955" spans="1:8" ht="31.5">
      <c r="A2955" s="608" t="s">
        <v>378</v>
      </c>
      <c r="B2955" s="613" t="s">
        <v>642</v>
      </c>
      <c r="C2955" s="610" t="s">
        <v>379</v>
      </c>
      <c r="D2955" s="610" t="s">
        <v>379</v>
      </c>
      <c r="E2955" s="610" t="s">
        <v>379</v>
      </c>
      <c r="F2955" s="610" t="s">
        <v>379</v>
      </c>
      <c r="G2955" s="610" t="s">
        <v>379</v>
      </c>
      <c r="H2955" s="611" t="s">
        <v>626</v>
      </c>
    </row>
    <row r="2956" spans="1:8" ht="15.75">
      <c r="A2956" s="608" t="s">
        <v>643</v>
      </c>
      <c r="B2956" s="613" t="s">
        <v>644</v>
      </c>
      <c r="C2956" s="610" t="s">
        <v>676</v>
      </c>
      <c r="D2956" s="610" t="s">
        <v>678</v>
      </c>
      <c r="E2956" s="610" t="s">
        <v>379</v>
      </c>
      <c r="F2956" s="610" t="s">
        <v>379</v>
      </c>
      <c r="G2956" s="614">
        <v>0</v>
      </c>
      <c r="H2956" s="611"/>
    </row>
    <row r="2957" spans="1:8" ht="15.75">
      <c r="A2957" s="608" t="s">
        <v>380</v>
      </c>
      <c r="B2957" s="613" t="s">
        <v>646</v>
      </c>
      <c r="C2957" s="610" t="s">
        <v>679</v>
      </c>
      <c r="D2957" s="610" t="s">
        <v>680</v>
      </c>
      <c r="E2957" s="610" t="s">
        <v>379</v>
      </c>
      <c r="F2957" s="610" t="s">
        <v>379</v>
      </c>
      <c r="G2957" s="614">
        <v>0</v>
      </c>
      <c r="H2957" s="611"/>
    </row>
    <row r="2958" spans="1:8" ht="15.75">
      <c r="A2958" s="608" t="s">
        <v>649</v>
      </c>
      <c r="B2958" s="613" t="s">
        <v>650</v>
      </c>
      <c r="C2958" s="610" t="s">
        <v>681</v>
      </c>
      <c r="D2958" s="610" t="s">
        <v>682</v>
      </c>
      <c r="E2958" s="610" t="s">
        <v>379</v>
      </c>
      <c r="F2958" s="610" t="s">
        <v>379</v>
      </c>
      <c r="G2958" s="614">
        <v>0</v>
      </c>
      <c r="H2958" s="611"/>
    </row>
    <row r="2959" spans="1:8" ht="15.75">
      <c r="A2959" s="608" t="s">
        <v>653</v>
      </c>
      <c r="B2959" s="613" t="s">
        <v>654</v>
      </c>
      <c r="C2959" s="610" t="s">
        <v>682</v>
      </c>
      <c r="D2959" s="610" t="s">
        <v>677</v>
      </c>
      <c r="E2959" s="610" t="s">
        <v>379</v>
      </c>
      <c r="F2959" s="610" t="s">
        <v>379</v>
      </c>
      <c r="G2959" s="614">
        <v>0</v>
      </c>
      <c r="H2959" s="611"/>
    </row>
    <row r="2960" spans="1:8" ht="12.75" customHeight="1">
      <c r="A2960" s="608">
        <v>4</v>
      </c>
      <c r="B2960" s="706" t="s">
        <v>656</v>
      </c>
      <c r="C2960" s="706"/>
      <c r="D2960" s="706"/>
      <c r="E2960" s="706"/>
      <c r="F2960" s="706"/>
      <c r="G2960" s="706"/>
      <c r="H2960" s="706"/>
    </row>
    <row r="2961" spans="1:8" ht="31.5">
      <c r="A2961" s="608" t="s">
        <v>657</v>
      </c>
      <c r="B2961" s="612" t="s">
        <v>658</v>
      </c>
      <c r="C2961" s="610" t="s">
        <v>379</v>
      </c>
      <c r="D2961" s="610" t="s">
        <v>379</v>
      </c>
      <c r="E2961" s="610" t="s">
        <v>379</v>
      </c>
      <c r="F2961" s="610" t="s">
        <v>379</v>
      </c>
      <c r="G2961" s="610" t="s">
        <v>379</v>
      </c>
      <c r="H2961" s="611" t="s">
        <v>626</v>
      </c>
    </row>
    <row r="2962" spans="1:8" ht="47.25">
      <c r="A2962" s="608" t="s">
        <v>659</v>
      </c>
      <c r="B2962" s="612" t="s">
        <v>660</v>
      </c>
      <c r="C2962" s="610" t="s">
        <v>379</v>
      </c>
      <c r="D2962" s="610" t="s">
        <v>379</v>
      </c>
      <c r="E2962" s="610" t="s">
        <v>379</v>
      </c>
      <c r="F2962" s="610" t="s">
        <v>379</v>
      </c>
      <c r="G2962" s="610" t="s">
        <v>379</v>
      </c>
      <c r="H2962" s="611" t="s">
        <v>626</v>
      </c>
    </row>
    <row r="2963" spans="1:8" ht="31.5">
      <c r="A2963" s="608" t="s">
        <v>661</v>
      </c>
      <c r="B2963" s="613" t="s">
        <v>662</v>
      </c>
      <c r="C2963" s="610" t="s">
        <v>379</v>
      </c>
      <c r="D2963" s="610" t="s">
        <v>379</v>
      </c>
      <c r="E2963" s="610" t="s">
        <v>379</v>
      </c>
      <c r="F2963" s="610" t="s">
        <v>379</v>
      </c>
      <c r="G2963" s="610" t="s">
        <v>379</v>
      </c>
      <c r="H2963" s="611" t="s">
        <v>626</v>
      </c>
    </row>
    <row r="2964" spans="1:8" ht="31.5">
      <c r="A2964" s="615" t="s">
        <v>663</v>
      </c>
      <c r="B2964" s="616" t="s">
        <v>664</v>
      </c>
      <c r="C2964" s="617" t="s">
        <v>379</v>
      </c>
      <c r="D2964" s="617" t="s">
        <v>379</v>
      </c>
      <c r="E2964" s="617" t="s">
        <v>379</v>
      </c>
      <c r="F2964" s="617" t="s">
        <v>379</v>
      </c>
      <c r="G2964" s="617" t="s">
        <v>379</v>
      </c>
      <c r="H2964" s="618" t="s">
        <v>626</v>
      </c>
    </row>
    <row r="2965" spans="1:8" ht="15.75">
      <c r="A2965" s="619"/>
      <c r="B2965" s="620"/>
      <c r="C2965" s="621"/>
      <c r="D2965" s="621"/>
      <c r="E2965" s="621"/>
      <c r="F2965" s="621"/>
      <c r="G2965" s="621"/>
      <c r="H2965" s="148"/>
    </row>
    <row r="2966" spans="1:8" ht="12.75" customHeight="1">
      <c r="A2966" s="707" t="s">
        <v>665</v>
      </c>
      <c r="B2966" s="707"/>
      <c r="C2966" s="707"/>
      <c r="D2966" s="707"/>
      <c r="E2966" s="707"/>
      <c r="F2966" s="707"/>
      <c r="G2966" s="707"/>
      <c r="H2966" s="707"/>
    </row>
    <row r="2970" ht="15.75">
      <c r="H2970" s="11" t="s">
        <v>609</v>
      </c>
    </row>
    <row r="2971" ht="15.75">
      <c r="H2971" s="11" t="s">
        <v>610</v>
      </c>
    </row>
    <row r="2972" ht="15.75">
      <c r="H2972" s="11" t="s">
        <v>611</v>
      </c>
    </row>
    <row r="2973" ht="15.75">
      <c r="H2973" s="11"/>
    </row>
    <row r="2974" spans="1:8" ht="12.75" customHeight="1">
      <c r="A2974" s="713" t="s">
        <v>612</v>
      </c>
      <c r="B2974" s="713"/>
      <c r="C2974" s="713"/>
      <c r="D2974" s="713"/>
      <c r="E2974" s="713"/>
      <c r="F2974" s="713"/>
      <c r="G2974" s="713"/>
      <c r="H2974" s="713"/>
    </row>
    <row r="2975" spans="1:8" ht="12.75" customHeight="1">
      <c r="A2975" s="713" t="s">
        <v>613</v>
      </c>
      <c r="B2975" s="713"/>
      <c r="C2975" s="713"/>
      <c r="D2975" s="713"/>
      <c r="E2975" s="713"/>
      <c r="F2975" s="713"/>
      <c r="G2975" s="713"/>
      <c r="H2975" s="713"/>
    </row>
    <row r="2976" ht="15.75">
      <c r="H2976" s="11" t="s">
        <v>43</v>
      </c>
    </row>
    <row r="2977" ht="15.75">
      <c r="H2977" s="11" t="s">
        <v>44</v>
      </c>
    </row>
    <row r="2978" ht="15.75">
      <c r="H2978" s="11" t="s">
        <v>45</v>
      </c>
    </row>
    <row r="2979" ht="15.75">
      <c r="H2979" s="594" t="s">
        <v>614</v>
      </c>
    </row>
    <row r="2980" ht="15.75">
      <c r="H2980" s="11" t="s">
        <v>615</v>
      </c>
    </row>
    <row r="2981" ht="15.75">
      <c r="H2981" s="11" t="s">
        <v>47</v>
      </c>
    </row>
    <row r="2982" ht="15.75">
      <c r="A2982" s="595"/>
    </row>
    <row r="2983" ht="15.75">
      <c r="A2983" s="3" t="s">
        <v>798</v>
      </c>
    </row>
    <row r="2984" spans="1:8" ht="12.75" customHeight="1">
      <c r="A2984" s="717" t="s">
        <v>0</v>
      </c>
      <c r="B2984" s="714"/>
      <c r="C2984" s="714"/>
      <c r="D2984" s="714"/>
      <c r="E2984" s="714"/>
      <c r="F2984" s="714"/>
      <c r="G2984" s="714"/>
      <c r="H2984" s="714"/>
    </row>
    <row r="2985" spans="1:8" ht="16.5" thickBot="1">
      <c r="A2985" s="597"/>
      <c r="B2985" s="597"/>
      <c r="C2985" s="598"/>
      <c r="D2985" s="598"/>
      <c r="E2985" s="598"/>
      <c r="F2985" s="598"/>
      <c r="G2985" s="598"/>
      <c r="H2985" s="598"/>
    </row>
    <row r="2986" spans="1:8" ht="12.75" customHeight="1">
      <c r="A2986" s="708" t="s">
        <v>617</v>
      </c>
      <c r="B2986" s="710" t="s">
        <v>618</v>
      </c>
      <c r="C2986" s="711" t="s">
        <v>619</v>
      </c>
      <c r="D2986" s="711"/>
      <c r="E2986" s="711"/>
      <c r="F2986" s="711"/>
      <c r="G2986" s="712" t="s">
        <v>620</v>
      </c>
      <c r="H2986" s="708" t="s">
        <v>621</v>
      </c>
    </row>
    <row r="2987" spans="1:8" ht="15.75">
      <c r="A2987" s="708"/>
      <c r="B2987" s="710"/>
      <c r="C2987" s="711"/>
      <c r="D2987" s="711"/>
      <c r="E2987" s="711"/>
      <c r="F2987" s="711"/>
      <c r="G2987" s="712"/>
      <c r="H2987" s="708"/>
    </row>
    <row r="2988" spans="1:8" ht="31.5">
      <c r="A2988" s="708"/>
      <c r="B2988" s="710"/>
      <c r="C2988" s="601" t="s">
        <v>622</v>
      </c>
      <c r="D2988" s="601" t="s">
        <v>623</v>
      </c>
      <c r="E2988" s="602" t="s">
        <v>622</v>
      </c>
      <c r="F2988" s="603" t="s">
        <v>623</v>
      </c>
      <c r="G2988" s="712"/>
      <c r="H2988" s="708"/>
    </row>
    <row r="2989" spans="1:8" ht="15.75">
      <c r="A2989" s="599">
        <v>1</v>
      </c>
      <c r="B2989" s="599">
        <v>2</v>
      </c>
      <c r="C2989" s="604">
        <v>3</v>
      </c>
      <c r="D2989" s="604">
        <v>4</v>
      </c>
      <c r="E2989" s="605"/>
      <c r="F2989" s="606"/>
      <c r="G2989" s="600">
        <v>5</v>
      </c>
      <c r="H2989" s="599">
        <v>6</v>
      </c>
    </row>
    <row r="2990" spans="1:8" ht="12.75" customHeight="1">
      <c r="A2990" s="607">
        <v>1</v>
      </c>
      <c r="B2990" s="709" t="s">
        <v>624</v>
      </c>
      <c r="C2990" s="709"/>
      <c r="D2990" s="709"/>
      <c r="E2990" s="709"/>
      <c r="F2990" s="709"/>
      <c r="G2990" s="709"/>
      <c r="H2990" s="709"/>
    </row>
    <row r="2991" spans="1:8" ht="15.75">
      <c r="A2991" s="608" t="s">
        <v>74</v>
      </c>
      <c r="B2991" s="609" t="s">
        <v>625</v>
      </c>
      <c r="C2991" s="610" t="s">
        <v>379</v>
      </c>
      <c r="D2991" s="610" t="s">
        <v>379</v>
      </c>
      <c r="E2991" s="610" t="s">
        <v>379</v>
      </c>
      <c r="F2991" s="610" t="s">
        <v>379</v>
      </c>
      <c r="G2991" s="610" t="s">
        <v>379</v>
      </c>
      <c r="H2991" s="611" t="s">
        <v>626</v>
      </c>
    </row>
    <row r="2992" spans="1:8" ht="15.75">
      <c r="A2992" s="608" t="s">
        <v>313</v>
      </c>
      <c r="B2992" s="609" t="s">
        <v>627</v>
      </c>
      <c r="C2992" s="610" t="s">
        <v>379</v>
      </c>
      <c r="D2992" s="610" t="s">
        <v>379</v>
      </c>
      <c r="E2992" s="610" t="s">
        <v>379</v>
      </c>
      <c r="F2992" s="610" t="s">
        <v>379</v>
      </c>
      <c r="G2992" s="610" t="s">
        <v>379</v>
      </c>
      <c r="H2992" s="611" t="s">
        <v>626</v>
      </c>
    </row>
    <row r="2993" spans="1:8" ht="31.5">
      <c r="A2993" s="608" t="s">
        <v>315</v>
      </c>
      <c r="B2993" s="612" t="s">
        <v>628</v>
      </c>
      <c r="C2993" s="610" t="s">
        <v>379</v>
      </c>
      <c r="D2993" s="610" t="s">
        <v>379</v>
      </c>
      <c r="E2993" s="610" t="s">
        <v>379</v>
      </c>
      <c r="F2993" s="610" t="s">
        <v>379</v>
      </c>
      <c r="G2993" s="610" t="s">
        <v>379</v>
      </c>
      <c r="H2993" s="611" t="s">
        <v>626</v>
      </c>
    </row>
    <row r="2994" spans="1:8" ht="47.25">
      <c r="A2994" s="608" t="s">
        <v>317</v>
      </c>
      <c r="B2994" s="612" t="s">
        <v>629</v>
      </c>
      <c r="C2994" s="610" t="s">
        <v>379</v>
      </c>
      <c r="D2994" s="610" t="s">
        <v>379</v>
      </c>
      <c r="E2994" s="610" t="s">
        <v>379</v>
      </c>
      <c r="F2994" s="610" t="s">
        <v>379</v>
      </c>
      <c r="G2994" s="610" t="s">
        <v>379</v>
      </c>
      <c r="H2994" s="611" t="s">
        <v>626</v>
      </c>
    </row>
    <row r="2995" spans="1:8" ht="15.75">
      <c r="A2995" s="608" t="s">
        <v>630</v>
      </c>
      <c r="B2995" s="613" t="s">
        <v>631</v>
      </c>
      <c r="C2995" s="610" t="s">
        <v>379</v>
      </c>
      <c r="D2995" s="610" t="s">
        <v>379</v>
      </c>
      <c r="E2995" s="610" t="s">
        <v>379</v>
      </c>
      <c r="F2995" s="610" t="s">
        <v>379</v>
      </c>
      <c r="G2995" s="610" t="s">
        <v>379</v>
      </c>
      <c r="H2995" s="611" t="s">
        <v>626</v>
      </c>
    </row>
    <row r="2996" spans="1:8" ht="15.75">
      <c r="A2996" s="608" t="s">
        <v>632</v>
      </c>
      <c r="B2996" s="613" t="s">
        <v>633</v>
      </c>
      <c r="C2996" s="610" t="s">
        <v>379</v>
      </c>
      <c r="D2996" s="610" t="s">
        <v>379</v>
      </c>
      <c r="E2996" s="610" t="s">
        <v>379</v>
      </c>
      <c r="F2996" s="610" t="s">
        <v>379</v>
      </c>
      <c r="G2996" s="610" t="s">
        <v>379</v>
      </c>
      <c r="H2996" s="611" t="s">
        <v>626</v>
      </c>
    </row>
    <row r="2997" spans="1:8" ht="12.75" customHeight="1">
      <c r="A2997" s="608">
        <v>2</v>
      </c>
      <c r="B2997" s="706" t="s">
        <v>634</v>
      </c>
      <c r="C2997" s="706"/>
      <c r="D2997" s="706"/>
      <c r="E2997" s="706"/>
      <c r="F2997" s="706"/>
      <c r="G2997" s="706"/>
      <c r="H2997" s="706"/>
    </row>
    <row r="2998" spans="1:8" ht="31.5">
      <c r="A2998" s="608" t="s">
        <v>321</v>
      </c>
      <c r="B2998" s="612" t="s">
        <v>635</v>
      </c>
      <c r="C2998" s="610" t="s">
        <v>676</v>
      </c>
      <c r="D2998" s="610" t="s">
        <v>677</v>
      </c>
      <c r="E2998" s="610" t="s">
        <v>379</v>
      </c>
      <c r="F2998" s="610" t="s">
        <v>379</v>
      </c>
      <c r="G2998" s="614">
        <v>0</v>
      </c>
      <c r="H2998" s="611"/>
    </row>
    <row r="2999" spans="1:8" ht="47.25">
      <c r="A2999" s="608" t="s">
        <v>325</v>
      </c>
      <c r="B2999" s="612" t="s">
        <v>638</v>
      </c>
      <c r="C2999" s="610" t="s">
        <v>379</v>
      </c>
      <c r="D2999" s="610" t="s">
        <v>379</v>
      </c>
      <c r="E2999" s="610" t="s">
        <v>379</v>
      </c>
      <c r="F2999" s="610" t="s">
        <v>379</v>
      </c>
      <c r="G2999" s="610" t="s">
        <v>379</v>
      </c>
      <c r="H2999" s="611" t="s">
        <v>626</v>
      </c>
    </row>
    <row r="3000" spans="1:8" ht="31.5">
      <c r="A3000" s="608" t="s">
        <v>639</v>
      </c>
      <c r="B3000" s="612" t="s">
        <v>640</v>
      </c>
      <c r="C3000" s="610" t="s">
        <v>379</v>
      </c>
      <c r="D3000" s="610" t="s">
        <v>379</v>
      </c>
      <c r="E3000" s="610" t="s">
        <v>379</v>
      </c>
      <c r="F3000" s="610" t="s">
        <v>379</v>
      </c>
      <c r="G3000" s="610" t="s">
        <v>379</v>
      </c>
      <c r="H3000" s="611" t="s">
        <v>626</v>
      </c>
    </row>
    <row r="3001" spans="1:8" ht="12.75" customHeight="1">
      <c r="A3001" s="608">
        <v>3</v>
      </c>
      <c r="B3001" s="706" t="s">
        <v>641</v>
      </c>
      <c r="C3001" s="706"/>
      <c r="D3001" s="706"/>
      <c r="E3001" s="706"/>
      <c r="F3001" s="706"/>
      <c r="G3001" s="706"/>
      <c r="H3001" s="706"/>
    </row>
    <row r="3002" spans="1:8" ht="31.5">
      <c r="A3002" s="608" t="s">
        <v>378</v>
      </c>
      <c r="B3002" s="613" t="s">
        <v>642</v>
      </c>
      <c r="C3002" s="610" t="s">
        <v>379</v>
      </c>
      <c r="D3002" s="610" t="s">
        <v>379</v>
      </c>
      <c r="E3002" s="610" t="s">
        <v>379</v>
      </c>
      <c r="F3002" s="610" t="s">
        <v>379</v>
      </c>
      <c r="G3002" s="610" t="s">
        <v>379</v>
      </c>
      <c r="H3002" s="611" t="s">
        <v>626</v>
      </c>
    </row>
    <row r="3003" spans="1:8" ht="15.75">
      <c r="A3003" s="608" t="s">
        <v>643</v>
      </c>
      <c r="B3003" s="613" t="s">
        <v>644</v>
      </c>
      <c r="C3003" s="610" t="s">
        <v>676</v>
      </c>
      <c r="D3003" s="610" t="s">
        <v>678</v>
      </c>
      <c r="E3003" s="610" t="s">
        <v>379</v>
      </c>
      <c r="F3003" s="610" t="s">
        <v>379</v>
      </c>
      <c r="G3003" s="614">
        <v>0</v>
      </c>
      <c r="H3003" s="611"/>
    </row>
    <row r="3004" spans="1:8" ht="15.75">
      <c r="A3004" s="608" t="s">
        <v>380</v>
      </c>
      <c r="B3004" s="613" t="s">
        <v>646</v>
      </c>
      <c r="C3004" s="610" t="s">
        <v>679</v>
      </c>
      <c r="D3004" s="610" t="s">
        <v>680</v>
      </c>
      <c r="E3004" s="610" t="s">
        <v>379</v>
      </c>
      <c r="F3004" s="610" t="s">
        <v>379</v>
      </c>
      <c r="G3004" s="614">
        <v>0</v>
      </c>
      <c r="H3004" s="611"/>
    </row>
    <row r="3005" spans="1:8" ht="15.75">
      <c r="A3005" s="608" t="s">
        <v>649</v>
      </c>
      <c r="B3005" s="613" t="s">
        <v>650</v>
      </c>
      <c r="C3005" s="610" t="s">
        <v>681</v>
      </c>
      <c r="D3005" s="610" t="s">
        <v>682</v>
      </c>
      <c r="E3005" s="610" t="s">
        <v>379</v>
      </c>
      <c r="F3005" s="610" t="s">
        <v>379</v>
      </c>
      <c r="G3005" s="614">
        <v>0</v>
      </c>
      <c r="H3005" s="611"/>
    </row>
    <row r="3006" spans="1:8" ht="15.75">
      <c r="A3006" s="608" t="s">
        <v>653</v>
      </c>
      <c r="B3006" s="613" t="s">
        <v>654</v>
      </c>
      <c r="C3006" s="610" t="s">
        <v>682</v>
      </c>
      <c r="D3006" s="610" t="s">
        <v>677</v>
      </c>
      <c r="E3006" s="610" t="s">
        <v>379</v>
      </c>
      <c r="F3006" s="610" t="s">
        <v>379</v>
      </c>
      <c r="G3006" s="614">
        <v>0</v>
      </c>
      <c r="H3006" s="611"/>
    </row>
    <row r="3007" spans="1:8" ht="12.75" customHeight="1">
      <c r="A3007" s="608">
        <v>4</v>
      </c>
      <c r="B3007" s="706" t="s">
        <v>656</v>
      </c>
      <c r="C3007" s="706"/>
      <c r="D3007" s="706"/>
      <c r="E3007" s="706"/>
      <c r="F3007" s="706"/>
      <c r="G3007" s="706"/>
      <c r="H3007" s="706"/>
    </row>
    <row r="3008" spans="1:8" ht="31.5">
      <c r="A3008" s="608" t="s">
        <v>657</v>
      </c>
      <c r="B3008" s="612" t="s">
        <v>658</v>
      </c>
      <c r="C3008" s="610" t="s">
        <v>379</v>
      </c>
      <c r="D3008" s="610" t="s">
        <v>379</v>
      </c>
      <c r="E3008" s="610" t="s">
        <v>379</v>
      </c>
      <c r="F3008" s="610" t="s">
        <v>379</v>
      </c>
      <c r="G3008" s="610" t="s">
        <v>379</v>
      </c>
      <c r="H3008" s="611" t="s">
        <v>626</v>
      </c>
    </row>
    <row r="3009" spans="1:8" ht="47.25">
      <c r="A3009" s="608" t="s">
        <v>659</v>
      </c>
      <c r="B3009" s="612" t="s">
        <v>660</v>
      </c>
      <c r="C3009" s="610" t="s">
        <v>379</v>
      </c>
      <c r="D3009" s="610" t="s">
        <v>379</v>
      </c>
      <c r="E3009" s="610" t="s">
        <v>379</v>
      </c>
      <c r="F3009" s="610" t="s">
        <v>379</v>
      </c>
      <c r="G3009" s="610" t="s">
        <v>379</v>
      </c>
      <c r="H3009" s="611" t="s">
        <v>626</v>
      </c>
    </row>
    <row r="3010" spans="1:8" ht="31.5">
      <c r="A3010" s="608" t="s">
        <v>661</v>
      </c>
      <c r="B3010" s="613" t="s">
        <v>662</v>
      </c>
      <c r="C3010" s="610" t="s">
        <v>379</v>
      </c>
      <c r="D3010" s="610" t="s">
        <v>379</v>
      </c>
      <c r="E3010" s="610" t="s">
        <v>379</v>
      </c>
      <c r="F3010" s="610" t="s">
        <v>379</v>
      </c>
      <c r="G3010" s="610" t="s">
        <v>379</v>
      </c>
      <c r="H3010" s="611" t="s">
        <v>626</v>
      </c>
    </row>
    <row r="3011" spans="1:8" ht="31.5">
      <c r="A3011" s="615" t="s">
        <v>663</v>
      </c>
      <c r="B3011" s="616" t="s">
        <v>664</v>
      </c>
      <c r="C3011" s="617" t="s">
        <v>379</v>
      </c>
      <c r="D3011" s="617" t="s">
        <v>379</v>
      </c>
      <c r="E3011" s="617" t="s">
        <v>379</v>
      </c>
      <c r="F3011" s="617" t="s">
        <v>379</v>
      </c>
      <c r="G3011" s="617" t="s">
        <v>379</v>
      </c>
      <c r="H3011" s="618" t="s">
        <v>626</v>
      </c>
    </row>
    <row r="3012" spans="1:8" ht="15.75">
      <c r="A3012" s="619"/>
      <c r="B3012" s="620"/>
      <c r="C3012" s="621"/>
      <c r="D3012" s="621"/>
      <c r="E3012" s="621"/>
      <c r="F3012" s="621"/>
      <c r="G3012" s="621"/>
      <c r="H3012" s="148"/>
    </row>
    <row r="3013" spans="1:8" ht="12.75" customHeight="1">
      <c r="A3013" s="707" t="s">
        <v>665</v>
      </c>
      <c r="B3013" s="707"/>
      <c r="C3013" s="707"/>
      <c r="D3013" s="707"/>
      <c r="E3013" s="707"/>
      <c r="F3013" s="707"/>
      <c r="G3013" s="707"/>
      <c r="H3013" s="707"/>
    </row>
    <row r="3018" ht="15.75">
      <c r="H3018" s="11" t="s">
        <v>609</v>
      </c>
    </row>
    <row r="3019" ht="15.75">
      <c r="H3019" s="11" t="s">
        <v>610</v>
      </c>
    </row>
    <row r="3020" ht="15.75">
      <c r="H3020" s="11" t="s">
        <v>611</v>
      </c>
    </row>
    <row r="3021" ht="15.75">
      <c r="H3021" s="11"/>
    </row>
    <row r="3022" spans="1:8" ht="12.75" customHeight="1">
      <c r="A3022" s="713" t="s">
        <v>612</v>
      </c>
      <c r="B3022" s="713"/>
      <c r="C3022" s="713"/>
      <c r="D3022" s="713"/>
      <c r="E3022" s="713"/>
      <c r="F3022" s="713"/>
      <c r="G3022" s="713"/>
      <c r="H3022" s="713"/>
    </row>
    <row r="3023" spans="1:8" ht="12.75" customHeight="1">
      <c r="A3023" s="713" t="s">
        <v>613</v>
      </c>
      <c r="B3023" s="713"/>
      <c r="C3023" s="713"/>
      <c r="D3023" s="713"/>
      <c r="E3023" s="713"/>
      <c r="F3023" s="713"/>
      <c r="G3023" s="713"/>
      <c r="H3023" s="713"/>
    </row>
    <row r="3024" ht="15.75">
      <c r="H3024" s="11" t="s">
        <v>43</v>
      </c>
    </row>
    <row r="3025" ht="15.75">
      <c r="H3025" s="11" t="s">
        <v>44</v>
      </c>
    </row>
    <row r="3026" ht="15.75">
      <c r="H3026" s="11" t="s">
        <v>45</v>
      </c>
    </row>
    <row r="3027" ht="15.75">
      <c r="H3027" s="594" t="s">
        <v>614</v>
      </c>
    </row>
    <row r="3028" ht="15.75">
      <c r="H3028" s="11" t="s">
        <v>615</v>
      </c>
    </row>
    <row r="3029" ht="15.75">
      <c r="H3029" s="11" t="s">
        <v>47</v>
      </c>
    </row>
    <row r="3030" ht="15.75">
      <c r="A3030" s="595"/>
    </row>
    <row r="3031" ht="15.75">
      <c r="A3031" s="3" t="s">
        <v>799</v>
      </c>
    </row>
    <row r="3032" spans="1:8" ht="12.75" customHeight="1">
      <c r="A3032" s="717" t="s">
        <v>0</v>
      </c>
      <c r="B3032" s="714"/>
      <c r="C3032" s="714"/>
      <c r="D3032" s="714"/>
      <c r="E3032" s="714"/>
      <c r="F3032" s="714"/>
      <c r="G3032" s="714"/>
      <c r="H3032" s="714"/>
    </row>
    <row r="3033" spans="1:8" ht="16.5" thickBot="1">
      <c r="A3033" s="597"/>
      <c r="B3033" s="597"/>
      <c r="C3033" s="598"/>
      <c r="D3033" s="598"/>
      <c r="E3033" s="598"/>
      <c r="F3033" s="598"/>
      <c r="G3033" s="598"/>
      <c r="H3033" s="598"/>
    </row>
    <row r="3034" spans="1:8" ht="12.75" customHeight="1">
      <c r="A3034" s="708" t="s">
        <v>617</v>
      </c>
      <c r="B3034" s="710" t="s">
        <v>618</v>
      </c>
      <c r="C3034" s="711" t="s">
        <v>619</v>
      </c>
      <c r="D3034" s="711"/>
      <c r="E3034" s="711"/>
      <c r="F3034" s="711"/>
      <c r="G3034" s="712" t="s">
        <v>620</v>
      </c>
      <c r="H3034" s="708" t="s">
        <v>621</v>
      </c>
    </row>
    <row r="3035" spans="1:8" ht="15.75">
      <c r="A3035" s="708"/>
      <c r="B3035" s="710"/>
      <c r="C3035" s="711"/>
      <c r="D3035" s="711"/>
      <c r="E3035" s="711"/>
      <c r="F3035" s="711"/>
      <c r="G3035" s="712"/>
      <c r="H3035" s="708"/>
    </row>
    <row r="3036" spans="1:8" ht="31.5">
      <c r="A3036" s="708"/>
      <c r="B3036" s="710"/>
      <c r="C3036" s="601" t="s">
        <v>622</v>
      </c>
      <c r="D3036" s="601" t="s">
        <v>623</v>
      </c>
      <c r="E3036" s="602" t="s">
        <v>622</v>
      </c>
      <c r="F3036" s="603" t="s">
        <v>623</v>
      </c>
      <c r="G3036" s="712"/>
      <c r="H3036" s="708"/>
    </row>
    <row r="3037" spans="1:8" ht="15.75">
      <c r="A3037" s="599">
        <v>1</v>
      </c>
      <c r="B3037" s="599">
        <v>2</v>
      </c>
      <c r="C3037" s="604">
        <v>3</v>
      </c>
      <c r="D3037" s="604">
        <v>4</v>
      </c>
      <c r="E3037" s="605"/>
      <c r="F3037" s="606"/>
      <c r="G3037" s="600">
        <v>5</v>
      </c>
      <c r="H3037" s="599">
        <v>6</v>
      </c>
    </row>
    <row r="3038" spans="1:8" ht="12.75" customHeight="1">
      <c r="A3038" s="607">
        <v>1</v>
      </c>
      <c r="B3038" s="709" t="s">
        <v>624</v>
      </c>
      <c r="C3038" s="709"/>
      <c r="D3038" s="709"/>
      <c r="E3038" s="709"/>
      <c r="F3038" s="709"/>
      <c r="G3038" s="709"/>
      <c r="H3038" s="709"/>
    </row>
    <row r="3039" spans="1:8" ht="15.75">
      <c r="A3039" s="608" t="s">
        <v>74</v>
      </c>
      <c r="B3039" s="609" t="s">
        <v>625</v>
      </c>
      <c r="C3039" s="610" t="s">
        <v>379</v>
      </c>
      <c r="D3039" s="610" t="s">
        <v>379</v>
      </c>
      <c r="E3039" s="610" t="s">
        <v>379</v>
      </c>
      <c r="F3039" s="610" t="s">
        <v>379</v>
      </c>
      <c r="G3039" s="610" t="s">
        <v>379</v>
      </c>
      <c r="H3039" s="611" t="s">
        <v>626</v>
      </c>
    </row>
    <row r="3040" spans="1:8" ht="15.75">
      <c r="A3040" s="608" t="s">
        <v>313</v>
      </c>
      <c r="B3040" s="609" t="s">
        <v>627</v>
      </c>
      <c r="C3040" s="610" t="s">
        <v>379</v>
      </c>
      <c r="D3040" s="610" t="s">
        <v>379</v>
      </c>
      <c r="E3040" s="610" t="s">
        <v>379</v>
      </c>
      <c r="F3040" s="610" t="s">
        <v>379</v>
      </c>
      <c r="G3040" s="610" t="s">
        <v>379</v>
      </c>
      <c r="H3040" s="611" t="s">
        <v>626</v>
      </c>
    </row>
    <row r="3041" spans="1:8" ht="31.5">
      <c r="A3041" s="608" t="s">
        <v>315</v>
      </c>
      <c r="B3041" s="612" t="s">
        <v>628</v>
      </c>
      <c r="C3041" s="610" t="s">
        <v>379</v>
      </c>
      <c r="D3041" s="610" t="s">
        <v>379</v>
      </c>
      <c r="E3041" s="610" t="s">
        <v>379</v>
      </c>
      <c r="F3041" s="610" t="s">
        <v>379</v>
      </c>
      <c r="G3041" s="610" t="s">
        <v>379</v>
      </c>
      <c r="H3041" s="611" t="s">
        <v>626</v>
      </c>
    </row>
    <row r="3042" spans="1:8" ht="47.25">
      <c r="A3042" s="608" t="s">
        <v>317</v>
      </c>
      <c r="B3042" s="612" t="s">
        <v>629</v>
      </c>
      <c r="C3042" s="610" t="s">
        <v>379</v>
      </c>
      <c r="D3042" s="610" t="s">
        <v>379</v>
      </c>
      <c r="E3042" s="610" t="s">
        <v>379</v>
      </c>
      <c r="F3042" s="610" t="s">
        <v>379</v>
      </c>
      <c r="G3042" s="610" t="s">
        <v>379</v>
      </c>
      <c r="H3042" s="611" t="s">
        <v>626</v>
      </c>
    </row>
    <row r="3043" spans="1:8" ht="15.75">
      <c r="A3043" s="608" t="s">
        <v>630</v>
      </c>
      <c r="B3043" s="613" t="s">
        <v>631</v>
      </c>
      <c r="C3043" s="610" t="s">
        <v>379</v>
      </c>
      <c r="D3043" s="610" t="s">
        <v>379</v>
      </c>
      <c r="E3043" s="610" t="s">
        <v>379</v>
      </c>
      <c r="F3043" s="610" t="s">
        <v>379</v>
      </c>
      <c r="G3043" s="610" t="s">
        <v>379</v>
      </c>
      <c r="H3043" s="611" t="s">
        <v>626</v>
      </c>
    </row>
    <row r="3044" spans="1:8" ht="15.75">
      <c r="A3044" s="608" t="s">
        <v>632</v>
      </c>
      <c r="B3044" s="613" t="s">
        <v>633</v>
      </c>
      <c r="C3044" s="610" t="s">
        <v>379</v>
      </c>
      <c r="D3044" s="610" t="s">
        <v>379</v>
      </c>
      <c r="E3044" s="610" t="s">
        <v>379</v>
      </c>
      <c r="F3044" s="610" t="s">
        <v>379</v>
      </c>
      <c r="G3044" s="610" t="s">
        <v>379</v>
      </c>
      <c r="H3044" s="611" t="s">
        <v>626</v>
      </c>
    </row>
    <row r="3045" spans="1:8" ht="12.75" customHeight="1">
      <c r="A3045" s="608">
        <v>2</v>
      </c>
      <c r="B3045" s="706" t="s">
        <v>634</v>
      </c>
      <c r="C3045" s="706"/>
      <c r="D3045" s="706"/>
      <c r="E3045" s="706"/>
      <c r="F3045" s="706"/>
      <c r="G3045" s="706"/>
      <c r="H3045" s="706"/>
    </row>
    <row r="3046" spans="1:8" ht="31.5">
      <c r="A3046" s="608" t="s">
        <v>321</v>
      </c>
      <c r="B3046" s="612" t="s">
        <v>635</v>
      </c>
      <c r="C3046" s="610" t="s">
        <v>676</v>
      </c>
      <c r="D3046" s="610" t="s">
        <v>677</v>
      </c>
      <c r="E3046" s="610" t="s">
        <v>379</v>
      </c>
      <c r="F3046" s="610" t="s">
        <v>379</v>
      </c>
      <c r="G3046" s="614">
        <v>0</v>
      </c>
      <c r="H3046" s="611"/>
    </row>
    <row r="3047" spans="1:8" ht="47.25">
      <c r="A3047" s="608" t="s">
        <v>325</v>
      </c>
      <c r="B3047" s="612" t="s">
        <v>638</v>
      </c>
      <c r="C3047" s="610" t="s">
        <v>379</v>
      </c>
      <c r="D3047" s="610" t="s">
        <v>379</v>
      </c>
      <c r="E3047" s="610" t="s">
        <v>379</v>
      </c>
      <c r="F3047" s="610" t="s">
        <v>379</v>
      </c>
      <c r="G3047" s="610" t="s">
        <v>379</v>
      </c>
      <c r="H3047" s="611" t="s">
        <v>626</v>
      </c>
    </row>
    <row r="3048" spans="1:8" ht="31.5">
      <c r="A3048" s="608" t="s">
        <v>639</v>
      </c>
      <c r="B3048" s="612" t="s">
        <v>640</v>
      </c>
      <c r="C3048" s="610" t="s">
        <v>379</v>
      </c>
      <c r="D3048" s="610" t="s">
        <v>379</v>
      </c>
      <c r="E3048" s="610" t="s">
        <v>379</v>
      </c>
      <c r="F3048" s="610" t="s">
        <v>379</v>
      </c>
      <c r="G3048" s="610" t="s">
        <v>379</v>
      </c>
      <c r="H3048" s="611" t="s">
        <v>626</v>
      </c>
    </row>
    <row r="3049" spans="1:8" ht="12.75" customHeight="1">
      <c r="A3049" s="608">
        <v>3</v>
      </c>
      <c r="B3049" s="706" t="s">
        <v>641</v>
      </c>
      <c r="C3049" s="706"/>
      <c r="D3049" s="706"/>
      <c r="E3049" s="706"/>
      <c r="F3049" s="706"/>
      <c r="G3049" s="706"/>
      <c r="H3049" s="706"/>
    </row>
    <row r="3050" spans="1:8" ht="31.5">
      <c r="A3050" s="608" t="s">
        <v>378</v>
      </c>
      <c r="B3050" s="613" t="s">
        <v>642</v>
      </c>
      <c r="C3050" s="610" t="s">
        <v>379</v>
      </c>
      <c r="D3050" s="610" t="s">
        <v>379</v>
      </c>
      <c r="E3050" s="610" t="s">
        <v>379</v>
      </c>
      <c r="F3050" s="610" t="s">
        <v>379</v>
      </c>
      <c r="G3050" s="610" t="s">
        <v>379</v>
      </c>
      <c r="H3050" s="611" t="s">
        <v>626</v>
      </c>
    </row>
    <row r="3051" spans="1:8" ht="15.75">
      <c r="A3051" s="608" t="s">
        <v>643</v>
      </c>
      <c r="B3051" s="613" t="s">
        <v>644</v>
      </c>
      <c r="C3051" s="610" t="s">
        <v>676</v>
      </c>
      <c r="D3051" s="610" t="s">
        <v>678</v>
      </c>
      <c r="E3051" s="610" t="s">
        <v>379</v>
      </c>
      <c r="F3051" s="610" t="s">
        <v>379</v>
      </c>
      <c r="G3051" s="614">
        <v>0</v>
      </c>
      <c r="H3051" s="611"/>
    </row>
    <row r="3052" spans="1:8" ht="15.75">
      <c r="A3052" s="608" t="s">
        <v>380</v>
      </c>
      <c r="B3052" s="613" t="s">
        <v>646</v>
      </c>
      <c r="C3052" s="610" t="s">
        <v>679</v>
      </c>
      <c r="D3052" s="610" t="s">
        <v>680</v>
      </c>
      <c r="E3052" s="610" t="s">
        <v>379</v>
      </c>
      <c r="F3052" s="610" t="s">
        <v>379</v>
      </c>
      <c r="G3052" s="614">
        <v>0</v>
      </c>
      <c r="H3052" s="611"/>
    </row>
    <row r="3053" spans="1:8" ht="15.75">
      <c r="A3053" s="608" t="s">
        <v>649</v>
      </c>
      <c r="B3053" s="613" t="s">
        <v>650</v>
      </c>
      <c r="C3053" s="610" t="s">
        <v>681</v>
      </c>
      <c r="D3053" s="610" t="s">
        <v>682</v>
      </c>
      <c r="E3053" s="610" t="s">
        <v>379</v>
      </c>
      <c r="F3053" s="610" t="s">
        <v>379</v>
      </c>
      <c r="G3053" s="614">
        <v>0</v>
      </c>
      <c r="H3053" s="611"/>
    </row>
    <row r="3054" spans="1:8" ht="15.75">
      <c r="A3054" s="608" t="s">
        <v>653</v>
      </c>
      <c r="B3054" s="613" t="s">
        <v>654</v>
      </c>
      <c r="C3054" s="610" t="s">
        <v>682</v>
      </c>
      <c r="D3054" s="610" t="s">
        <v>677</v>
      </c>
      <c r="E3054" s="610" t="s">
        <v>379</v>
      </c>
      <c r="F3054" s="610" t="s">
        <v>379</v>
      </c>
      <c r="G3054" s="614">
        <v>0</v>
      </c>
      <c r="H3054" s="611"/>
    </row>
    <row r="3055" spans="1:8" ht="12.75" customHeight="1">
      <c r="A3055" s="608">
        <v>4</v>
      </c>
      <c r="B3055" s="706" t="s">
        <v>656</v>
      </c>
      <c r="C3055" s="706"/>
      <c r="D3055" s="706"/>
      <c r="E3055" s="706"/>
      <c r="F3055" s="706"/>
      <c r="G3055" s="706"/>
      <c r="H3055" s="706"/>
    </row>
    <row r="3056" spans="1:8" ht="31.5">
      <c r="A3056" s="608" t="s">
        <v>657</v>
      </c>
      <c r="B3056" s="612" t="s">
        <v>658</v>
      </c>
      <c r="C3056" s="610" t="s">
        <v>379</v>
      </c>
      <c r="D3056" s="610" t="s">
        <v>379</v>
      </c>
      <c r="E3056" s="610" t="s">
        <v>379</v>
      </c>
      <c r="F3056" s="610" t="s">
        <v>379</v>
      </c>
      <c r="G3056" s="610" t="s">
        <v>379</v>
      </c>
      <c r="H3056" s="611" t="s">
        <v>626</v>
      </c>
    </row>
    <row r="3057" spans="1:8" ht="47.25">
      <c r="A3057" s="608" t="s">
        <v>659</v>
      </c>
      <c r="B3057" s="612" t="s">
        <v>660</v>
      </c>
      <c r="C3057" s="610" t="s">
        <v>379</v>
      </c>
      <c r="D3057" s="610" t="s">
        <v>379</v>
      </c>
      <c r="E3057" s="610" t="s">
        <v>379</v>
      </c>
      <c r="F3057" s="610" t="s">
        <v>379</v>
      </c>
      <c r="G3057" s="610" t="s">
        <v>379</v>
      </c>
      <c r="H3057" s="611" t="s">
        <v>626</v>
      </c>
    </row>
    <row r="3058" spans="1:8" ht="31.5">
      <c r="A3058" s="608" t="s">
        <v>661</v>
      </c>
      <c r="B3058" s="613" t="s">
        <v>662</v>
      </c>
      <c r="C3058" s="610" t="s">
        <v>379</v>
      </c>
      <c r="D3058" s="610" t="s">
        <v>379</v>
      </c>
      <c r="E3058" s="610" t="s">
        <v>379</v>
      </c>
      <c r="F3058" s="610" t="s">
        <v>379</v>
      </c>
      <c r="G3058" s="610" t="s">
        <v>379</v>
      </c>
      <c r="H3058" s="611" t="s">
        <v>626</v>
      </c>
    </row>
    <row r="3059" spans="1:8" ht="31.5">
      <c r="A3059" s="615" t="s">
        <v>663</v>
      </c>
      <c r="B3059" s="616" t="s">
        <v>664</v>
      </c>
      <c r="C3059" s="617" t="s">
        <v>379</v>
      </c>
      <c r="D3059" s="617" t="s">
        <v>379</v>
      </c>
      <c r="E3059" s="617" t="s">
        <v>379</v>
      </c>
      <c r="F3059" s="617" t="s">
        <v>379</v>
      </c>
      <c r="G3059" s="617" t="s">
        <v>379</v>
      </c>
      <c r="H3059" s="618" t="s">
        <v>626</v>
      </c>
    </row>
    <row r="3060" spans="1:8" ht="15.75">
      <c r="A3060" s="619"/>
      <c r="B3060" s="620"/>
      <c r="C3060" s="621"/>
      <c r="D3060" s="621"/>
      <c r="E3060" s="621"/>
      <c r="F3060" s="621"/>
      <c r="G3060" s="621"/>
      <c r="H3060" s="148"/>
    </row>
    <row r="3061" spans="1:8" ht="12.75" customHeight="1">
      <c r="A3061" s="707" t="s">
        <v>665</v>
      </c>
      <c r="B3061" s="707"/>
      <c r="C3061" s="707"/>
      <c r="D3061" s="707"/>
      <c r="E3061" s="707"/>
      <c r="F3061" s="707"/>
      <c r="G3061" s="707"/>
      <c r="H3061" s="707"/>
    </row>
    <row r="3067" ht="15.75">
      <c r="H3067" s="11" t="s">
        <v>609</v>
      </c>
    </row>
    <row r="3068" ht="15.75">
      <c r="H3068" s="11" t="s">
        <v>610</v>
      </c>
    </row>
    <row r="3069" ht="15.75">
      <c r="H3069" s="11" t="s">
        <v>611</v>
      </c>
    </row>
    <row r="3070" ht="15.75">
      <c r="H3070" s="11"/>
    </row>
    <row r="3071" spans="1:8" ht="12.75" customHeight="1">
      <c r="A3071" s="713" t="s">
        <v>612</v>
      </c>
      <c r="B3071" s="713"/>
      <c r="C3071" s="713"/>
      <c r="D3071" s="713"/>
      <c r="E3071" s="713"/>
      <c r="F3071" s="713"/>
      <c r="G3071" s="713"/>
      <c r="H3071" s="713"/>
    </row>
    <row r="3072" spans="1:8" ht="12.75" customHeight="1">
      <c r="A3072" s="713" t="s">
        <v>613</v>
      </c>
      <c r="B3072" s="713"/>
      <c r="C3072" s="713"/>
      <c r="D3072" s="713"/>
      <c r="E3072" s="713"/>
      <c r="F3072" s="713"/>
      <c r="G3072" s="713"/>
      <c r="H3072" s="713"/>
    </row>
    <row r="3073" ht="15.75">
      <c r="H3073" s="11" t="s">
        <v>43</v>
      </c>
    </row>
    <row r="3074" ht="15.75">
      <c r="H3074" s="11" t="s">
        <v>44</v>
      </c>
    </row>
    <row r="3075" ht="15.75">
      <c r="H3075" s="11" t="s">
        <v>45</v>
      </c>
    </row>
    <row r="3076" ht="15.75">
      <c r="H3076" s="594" t="s">
        <v>614</v>
      </c>
    </row>
    <row r="3077" ht="15.75">
      <c r="H3077" s="11" t="s">
        <v>615</v>
      </c>
    </row>
    <row r="3078" ht="15.75">
      <c r="H3078" s="11" t="s">
        <v>47</v>
      </c>
    </row>
    <row r="3079" ht="15.75">
      <c r="A3079" s="595"/>
    </row>
    <row r="3080" ht="15.75">
      <c r="A3080" s="3" t="s">
        <v>800</v>
      </c>
    </row>
    <row r="3081" spans="1:8" ht="12.75" customHeight="1">
      <c r="A3081" s="717" t="s">
        <v>0</v>
      </c>
      <c r="B3081" s="714"/>
      <c r="C3081" s="714"/>
      <c r="D3081" s="714"/>
      <c r="E3081" s="714"/>
      <c r="F3081" s="714"/>
      <c r="G3081" s="714"/>
      <c r="H3081" s="714"/>
    </row>
    <row r="3082" spans="1:8" ht="16.5" thickBot="1">
      <c r="A3082" s="597"/>
      <c r="B3082" s="597"/>
      <c r="C3082" s="598"/>
      <c r="D3082" s="598"/>
      <c r="E3082" s="598"/>
      <c r="F3082" s="598"/>
      <c r="G3082" s="598"/>
      <c r="H3082" s="598"/>
    </row>
    <row r="3083" spans="1:8" ht="12.75" customHeight="1">
      <c r="A3083" s="708" t="s">
        <v>617</v>
      </c>
      <c r="B3083" s="710" t="s">
        <v>618</v>
      </c>
      <c r="C3083" s="711" t="s">
        <v>619</v>
      </c>
      <c r="D3083" s="711"/>
      <c r="E3083" s="711"/>
      <c r="F3083" s="711"/>
      <c r="G3083" s="712" t="s">
        <v>620</v>
      </c>
      <c r="H3083" s="708" t="s">
        <v>621</v>
      </c>
    </row>
    <row r="3084" spans="1:8" ht="15.75">
      <c r="A3084" s="708"/>
      <c r="B3084" s="710"/>
      <c r="C3084" s="711"/>
      <c r="D3084" s="711"/>
      <c r="E3084" s="711"/>
      <c r="F3084" s="711"/>
      <c r="G3084" s="712"/>
      <c r="H3084" s="708"/>
    </row>
    <row r="3085" spans="1:8" ht="31.5">
      <c r="A3085" s="708"/>
      <c r="B3085" s="710"/>
      <c r="C3085" s="601" t="s">
        <v>622</v>
      </c>
      <c r="D3085" s="601" t="s">
        <v>623</v>
      </c>
      <c r="E3085" s="602" t="s">
        <v>622</v>
      </c>
      <c r="F3085" s="603" t="s">
        <v>623</v>
      </c>
      <c r="G3085" s="712"/>
      <c r="H3085" s="708"/>
    </row>
    <row r="3086" spans="1:8" ht="15.75">
      <c r="A3086" s="599">
        <v>1</v>
      </c>
      <c r="B3086" s="599">
        <v>2</v>
      </c>
      <c r="C3086" s="604">
        <v>3</v>
      </c>
      <c r="D3086" s="604">
        <v>4</v>
      </c>
      <c r="E3086" s="605"/>
      <c r="F3086" s="606"/>
      <c r="G3086" s="600">
        <v>5</v>
      </c>
      <c r="H3086" s="599">
        <v>6</v>
      </c>
    </row>
    <row r="3087" spans="1:8" ht="12.75" customHeight="1">
      <c r="A3087" s="607">
        <v>1</v>
      </c>
      <c r="B3087" s="709" t="s">
        <v>624</v>
      </c>
      <c r="C3087" s="709"/>
      <c r="D3087" s="709"/>
      <c r="E3087" s="709"/>
      <c r="F3087" s="709"/>
      <c r="G3087" s="709"/>
      <c r="H3087" s="709"/>
    </row>
    <row r="3088" spans="1:8" ht="15.75">
      <c r="A3088" s="608" t="s">
        <v>74</v>
      </c>
      <c r="B3088" s="609" t="s">
        <v>625</v>
      </c>
      <c r="C3088" s="610" t="s">
        <v>379</v>
      </c>
      <c r="D3088" s="610" t="s">
        <v>379</v>
      </c>
      <c r="E3088" s="610" t="s">
        <v>379</v>
      </c>
      <c r="F3088" s="610" t="s">
        <v>379</v>
      </c>
      <c r="G3088" s="610" t="s">
        <v>379</v>
      </c>
      <c r="H3088" s="611" t="s">
        <v>626</v>
      </c>
    </row>
    <row r="3089" spans="1:8" ht="15.75">
      <c r="A3089" s="608" t="s">
        <v>313</v>
      </c>
      <c r="B3089" s="609" t="s">
        <v>627</v>
      </c>
      <c r="C3089" s="610" t="s">
        <v>379</v>
      </c>
      <c r="D3089" s="610" t="s">
        <v>379</v>
      </c>
      <c r="E3089" s="610" t="s">
        <v>379</v>
      </c>
      <c r="F3089" s="610" t="s">
        <v>379</v>
      </c>
      <c r="G3089" s="610" t="s">
        <v>379</v>
      </c>
      <c r="H3089" s="611" t="s">
        <v>626</v>
      </c>
    </row>
    <row r="3090" spans="1:8" ht="31.5">
      <c r="A3090" s="608" t="s">
        <v>315</v>
      </c>
      <c r="B3090" s="612" t="s">
        <v>628</v>
      </c>
      <c r="C3090" s="610" t="s">
        <v>379</v>
      </c>
      <c r="D3090" s="610" t="s">
        <v>379</v>
      </c>
      <c r="E3090" s="610" t="s">
        <v>379</v>
      </c>
      <c r="F3090" s="610" t="s">
        <v>379</v>
      </c>
      <c r="G3090" s="610" t="s">
        <v>379</v>
      </c>
      <c r="H3090" s="611" t="s">
        <v>626</v>
      </c>
    </row>
    <row r="3091" spans="1:8" ht="47.25">
      <c r="A3091" s="608" t="s">
        <v>317</v>
      </c>
      <c r="B3091" s="612" t="s">
        <v>629</v>
      </c>
      <c r="C3091" s="610" t="s">
        <v>379</v>
      </c>
      <c r="D3091" s="610" t="s">
        <v>379</v>
      </c>
      <c r="E3091" s="610" t="s">
        <v>379</v>
      </c>
      <c r="F3091" s="610" t="s">
        <v>379</v>
      </c>
      <c r="G3091" s="610" t="s">
        <v>379</v>
      </c>
      <c r="H3091" s="611" t="s">
        <v>626</v>
      </c>
    </row>
    <row r="3092" spans="1:8" ht="15.75">
      <c r="A3092" s="608" t="s">
        <v>630</v>
      </c>
      <c r="B3092" s="613" t="s">
        <v>631</v>
      </c>
      <c r="C3092" s="610" t="s">
        <v>379</v>
      </c>
      <c r="D3092" s="610" t="s">
        <v>379</v>
      </c>
      <c r="E3092" s="610" t="s">
        <v>379</v>
      </c>
      <c r="F3092" s="610" t="s">
        <v>379</v>
      </c>
      <c r="G3092" s="610" t="s">
        <v>379</v>
      </c>
      <c r="H3092" s="611" t="s">
        <v>626</v>
      </c>
    </row>
    <row r="3093" spans="1:8" ht="15.75">
      <c r="A3093" s="608" t="s">
        <v>632</v>
      </c>
      <c r="B3093" s="613" t="s">
        <v>633</v>
      </c>
      <c r="C3093" s="610" t="s">
        <v>379</v>
      </c>
      <c r="D3093" s="610" t="s">
        <v>379</v>
      </c>
      <c r="E3093" s="610" t="s">
        <v>379</v>
      </c>
      <c r="F3093" s="610" t="s">
        <v>379</v>
      </c>
      <c r="G3093" s="610" t="s">
        <v>379</v>
      </c>
      <c r="H3093" s="611" t="s">
        <v>626</v>
      </c>
    </row>
    <row r="3094" spans="1:8" ht="12.75" customHeight="1">
      <c r="A3094" s="608">
        <v>2</v>
      </c>
      <c r="B3094" s="706" t="s">
        <v>634</v>
      </c>
      <c r="C3094" s="706"/>
      <c r="D3094" s="706"/>
      <c r="E3094" s="706"/>
      <c r="F3094" s="706"/>
      <c r="G3094" s="706"/>
      <c r="H3094" s="706"/>
    </row>
    <row r="3095" spans="1:8" ht="31.5">
      <c r="A3095" s="608" t="s">
        <v>321</v>
      </c>
      <c r="B3095" s="612" t="s">
        <v>635</v>
      </c>
      <c r="C3095" s="610" t="s">
        <v>676</v>
      </c>
      <c r="D3095" s="610" t="s">
        <v>677</v>
      </c>
      <c r="E3095" s="610" t="s">
        <v>379</v>
      </c>
      <c r="F3095" s="610" t="s">
        <v>379</v>
      </c>
      <c r="G3095" s="614">
        <v>0</v>
      </c>
      <c r="H3095" s="611"/>
    </row>
    <row r="3096" spans="1:8" ht="47.25">
      <c r="A3096" s="608" t="s">
        <v>325</v>
      </c>
      <c r="B3096" s="612" t="s">
        <v>638</v>
      </c>
      <c r="C3096" s="610" t="s">
        <v>379</v>
      </c>
      <c r="D3096" s="610" t="s">
        <v>379</v>
      </c>
      <c r="E3096" s="610" t="s">
        <v>379</v>
      </c>
      <c r="F3096" s="610" t="s">
        <v>379</v>
      </c>
      <c r="G3096" s="610" t="s">
        <v>379</v>
      </c>
      <c r="H3096" s="611" t="s">
        <v>626</v>
      </c>
    </row>
    <row r="3097" spans="1:8" ht="31.5">
      <c r="A3097" s="608" t="s">
        <v>639</v>
      </c>
      <c r="B3097" s="612" t="s">
        <v>640</v>
      </c>
      <c r="C3097" s="610" t="s">
        <v>379</v>
      </c>
      <c r="D3097" s="610" t="s">
        <v>379</v>
      </c>
      <c r="E3097" s="610" t="s">
        <v>379</v>
      </c>
      <c r="F3097" s="610" t="s">
        <v>379</v>
      </c>
      <c r="G3097" s="610" t="s">
        <v>379</v>
      </c>
      <c r="H3097" s="611" t="s">
        <v>626</v>
      </c>
    </row>
    <row r="3098" spans="1:8" ht="12.75" customHeight="1">
      <c r="A3098" s="608">
        <v>3</v>
      </c>
      <c r="B3098" s="706" t="s">
        <v>641</v>
      </c>
      <c r="C3098" s="706"/>
      <c r="D3098" s="706"/>
      <c r="E3098" s="706"/>
      <c r="F3098" s="706"/>
      <c r="G3098" s="706"/>
      <c r="H3098" s="706"/>
    </row>
    <row r="3099" spans="1:8" ht="31.5">
      <c r="A3099" s="608" t="s">
        <v>378</v>
      </c>
      <c r="B3099" s="613" t="s">
        <v>642</v>
      </c>
      <c r="C3099" s="610" t="s">
        <v>379</v>
      </c>
      <c r="D3099" s="610" t="s">
        <v>379</v>
      </c>
      <c r="E3099" s="610" t="s">
        <v>379</v>
      </c>
      <c r="F3099" s="610" t="s">
        <v>379</v>
      </c>
      <c r="G3099" s="610" t="s">
        <v>379</v>
      </c>
      <c r="H3099" s="611" t="s">
        <v>626</v>
      </c>
    </row>
    <row r="3100" spans="1:8" ht="15.75">
      <c r="A3100" s="608" t="s">
        <v>643</v>
      </c>
      <c r="B3100" s="613" t="s">
        <v>644</v>
      </c>
      <c r="C3100" s="610" t="s">
        <v>676</v>
      </c>
      <c r="D3100" s="610" t="s">
        <v>678</v>
      </c>
      <c r="E3100" s="610" t="s">
        <v>379</v>
      </c>
      <c r="F3100" s="610" t="s">
        <v>379</v>
      </c>
      <c r="G3100" s="614">
        <v>0</v>
      </c>
      <c r="H3100" s="611"/>
    </row>
    <row r="3101" spans="1:8" ht="15.75">
      <c r="A3101" s="608" t="s">
        <v>380</v>
      </c>
      <c r="B3101" s="613" t="s">
        <v>646</v>
      </c>
      <c r="C3101" s="610" t="s">
        <v>679</v>
      </c>
      <c r="D3101" s="610" t="s">
        <v>680</v>
      </c>
      <c r="E3101" s="610" t="s">
        <v>379</v>
      </c>
      <c r="F3101" s="610" t="s">
        <v>379</v>
      </c>
      <c r="G3101" s="614">
        <v>0</v>
      </c>
      <c r="H3101" s="611"/>
    </row>
    <row r="3102" spans="1:8" ht="15.75">
      <c r="A3102" s="608" t="s">
        <v>649</v>
      </c>
      <c r="B3102" s="613" t="s">
        <v>650</v>
      </c>
      <c r="C3102" s="610" t="s">
        <v>681</v>
      </c>
      <c r="D3102" s="610" t="s">
        <v>682</v>
      </c>
      <c r="E3102" s="610" t="s">
        <v>379</v>
      </c>
      <c r="F3102" s="610" t="s">
        <v>379</v>
      </c>
      <c r="G3102" s="614">
        <v>0</v>
      </c>
      <c r="H3102" s="611"/>
    </row>
    <row r="3103" spans="1:8" ht="15.75">
      <c r="A3103" s="608" t="s">
        <v>653</v>
      </c>
      <c r="B3103" s="613" t="s">
        <v>654</v>
      </c>
      <c r="C3103" s="610" t="s">
        <v>682</v>
      </c>
      <c r="D3103" s="610" t="s">
        <v>677</v>
      </c>
      <c r="E3103" s="610" t="s">
        <v>379</v>
      </c>
      <c r="F3103" s="610" t="s">
        <v>379</v>
      </c>
      <c r="G3103" s="614">
        <v>0</v>
      </c>
      <c r="H3103" s="611"/>
    </row>
    <row r="3104" spans="1:8" ht="12.75" customHeight="1">
      <c r="A3104" s="608">
        <v>4</v>
      </c>
      <c r="B3104" s="706" t="s">
        <v>656</v>
      </c>
      <c r="C3104" s="706"/>
      <c r="D3104" s="706"/>
      <c r="E3104" s="706"/>
      <c r="F3104" s="706"/>
      <c r="G3104" s="706"/>
      <c r="H3104" s="706"/>
    </row>
    <row r="3105" spans="1:8" ht="31.5">
      <c r="A3105" s="608" t="s">
        <v>657</v>
      </c>
      <c r="B3105" s="612" t="s">
        <v>658</v>
      </c>
      <c r="C3105" s="610" t="s">
        <v>379</v>
      </c>
      <c r="D3105" s="610" t="s">
        <v>379</v>
      </c>
      <c r="E3105" s="610" t="s">
        <v>379</v>
      </c>
      <c r="F3105" s="610" t="s">
        <v>379</v>
      </c>
      <c r="G3105" s="610" t="s">
        <v>379</v>
      </c>
      <c r="H3105" s="611" t="s">
        <v>626</v>
      </c>
    </row>
    <row r="3106" spans="1:8" ht="47.25">
      <c r="A3106" s="608" t="s">
        <v>659</v>
      </c>
      <c r="B3106" s="612" t="s">
        <v>660</v>
      </c>
      <c r="C3106" s="610" t="s">
        <v>379</v>
      </c>
      <c r="D3106" s="610" t="s">
        <v>379</v>
      </c>
      <c r="E3106" s="610" t="s">
        <v>379</v>
      </c>
      <c r="F3106" s="610" t="s">
        <v>379</v>
      </c>
      <c r="G3106" s="610" t="s">
        <v>379</v>
      </c>
      <c r="H3106" s="611" t="s">
        <v>626</v>
      </c>
    </row>
    <row r="3107" spans="1:8" ht="31.5">
      <c r="A3107" s="608" t="s">
        <v>661</v>
      </c>
      <c r="B3107" s="613" t="s">
        <v>662</v>
      </c>
      <c r="C3107" s="610" t="s">
        <v>379</v>
      </c>
      <c r="D3107" s="610" t="s">
        <v>379</v>
      </c>
      <c r="E3107" s="610" t="s">
        <v>379</v>
      </c>
      <c r="F3107" s="610" t="s">
        <v>379</v>
      </c>
      <c r="G3107" s="610" t="s">
        <v>379</v>
      </c>
      <c r="H3107" s="611" t="s">
        <v>626</v>
      </c>
    </row>
    <row r="3108" spans="1:8" ht="31.5">
      <c r="A3108" s="615" t="s">
        <v>663</v>
      </c>
      <c r="B3108" s="616" t="s">
        <v>664</v>
      </c>
      <c r="C3108" s="617" t="s">
        <v>379</v>
      </c>
      <c r="D3108" s="617" t="s">
        <v>379</v>
      </c>
      <c r="E3108" s="617" t="s">
        <v>379</v>
      </c>
      <c r="F3108" s="617" t="s">
        <v>379</v>
      </c>
      <c r="G3108" s="617" t="s">
        <v>379</v>
      </c>
      <c r="H3108" s="618" t="s">
        <v>626</v>
      </c>
    </row>
    <row r="3109" spans="1:8" ht="15.75">
      <c r="A3109" s="619"/>
      <c r="B3109" s="620"/>
      <c r="C3109" s="621"/>
      <c r="D3109" s="621"/>
      <c r="E3109" s="621"/>
      <c r="F3109" s="621"/>
      <c r="G3109" s="621"/>
      <c r="H3109" s="148"/>
    </row>
    <row r="3110" spans="1:8" ht="12.75" customHeight="1">
      <c r="A3110" s="707" t="s">
        <v>665</v>
      </c>
      <c r="B3110" s="707"/>
      <c r="C3110" s="707"/>
      <c r="D3110" s="707"/>
      <c r="E3110" s="707"/>
      <c r="F3110" s="707"/>
      <c r="G3110" s="707"/>
      <c r="H3110" s="707"/>
    </row>
    <row r="3114" ht="15.75">
      <c r="H3114" s="11" t="s">
        <v>609</v>
      </c>
    </row>
    <row r="3115" ht="15.75">
      <c r="H3115" s="11" t="s">
        <v>610</v>
      </c>
    </row>
    <row r="3116" ht="15.75">
      <c r="H3116" s="11" t="s">
        <v>611</v>
      </c>
    </row>
    <row r="3117" ht="15.75">
      <c r="H3117" s="11"/>
    </row>
    <row r="3118" spans="1:8" ht="12.75" customHeight="1">
      <c r="A3118" s="713" t="s">
        <v>612</v>
      </c>
      <c r="B3118" s="713"/>
      <c r="C3118" s="713"/>
      <c r="D3118" s="713"/>
      <c r="E3118" s="713"/>
      <c r="F3118" s="713"/>
      <c r="G3118" s="713"/>
      <c r="H3118" s="713"/>
    </row>
    <row r="3119" spans="1:8" ht="12.75" customHeight="1">
      <c r="A3119" s="713" t="s">
        <v>613</v>
      </c>
      <c r="B3119" s="713"/>
      <c r="C3119" s="713"/>
      <c r="D3119" s="713"/>
      <c r="E3119" s="713"/>
      <c r="F3119" s="713"/>
      <c r="G3119" s="713"/>
      <c r="H3119" s="713"/>
    </row>
    <row r="3120" ht="15.75">
      <c r="H3120" s="11" t="s">
        <v>43</v>
      </c>
    </row>
    <row r="3121" ht="15.75">
      <c r="H3121" s="11" t="s">
        <v>44</v>
      </c>
    </row>
    <row r="3122" ht="15.75">
      <c r="H3122" s="11" t="s">
        <v>45</v>
      </c>
    </row>
    <row r="3123" ht="15.75">
      <c r="H3123" s="594" t="s">
        <v>614</v>
      </c>
    </row>
    <row r="3124" ht="15.75">
      <c r="H3124" s="11" t="s">
        <v>615</v>
      </c>
    </row>
    <row r="3125" ht="15.75">
      <c r="H3125" s="11" t="s">
        <v>47</v>
      </c>
    </row>
    <row r="3126" ht="15.75">
      <c r="A3126" s="595"/>
    </row>
    <row r="3127" ht="15.75">
      <c r="A3127" s="3" t="s">
        <v>801</v>
      </c>
    </row>
    <row r="3128" spans="1:8" ht="12.75" customHeight="1">
      <c r="A3128" s="717" t="s">
        <v>0</v>
      </c>
      <c r="B3128" s="714"/>
      <c r="C3128" s="714"/>
      <c r="D3128" s="714"/>
      <c r="E3128" s="714"/>
      <c r="F3128" s="714"/>
      <c r="G3128" s="714"/>
      <c r="H3128" s="714"/>
    </row>
    <row r="3129" spans="1:8" ht="16.5" thickBot="1">
      <c r="A3129" s="597"/>
      <c r="B3129" s="597"/>
      <c r="C3129" s="598"/>
      <c r="D3129" s="598"/>
      <c r="E3129" s="598"/>
      <c r="F3129" s="598"/>
      <c r="G3129" s="598"/>
      <c r="H3129" s="598"/>
    </row>
    <row r="3130" spans="1:8" ht="12.75" customHeight="1">
      <c r="A3130" s="708" t="s">
        <v>617</v>
      </c>
      <c r="B3130" s="710" t="s">
        <v>618</v>
      </c>
      <c r="C3130" s="711" t="s">
        <v>619</v>
      </c>
      <c r="D3130" s="711"/>
      <c r="E3130" s="711"/>
      <c r="F3130" s="711"/>
      <c r="G3130" s="712" t="s">
        <v>620</v>
      </c>
      <c r="H3130" s="708" t="s">
        <v>621</v>
      </c>
    </row>
    <row r="3131" spans="1:8" ht="15.75">
      <c r="A3131" s="708"/>
      <c r="B3131" s="710"/>
      <c r="C3131" s="711"/>
      <c r="D3131" s="711"/>
      <c r="E3131" s="711"/>
      <c r="F3131" s="711"/>
      <c r="G3131" s="712"/>
      <c r="H3131" s="708"/>
    </row>
    <row r="3132" spans="1:8" ht="31.5">
      <c r="A3132" s="708"/>
      <c r="B3132" s="710"/>
      <c r="C3132" s="601" t="s">
        <v>622</v>
      </c>
      <c r="D3132" s="601" t="s">
        <v>623</v>
      </c>
      <c r="E3132" s="602" t="s">
        <v>622</v>
      </c>
      <c r="F3132" s="603" t="s">
        <v>623</v>
      </c>
      <c r="G3132" s="712"/>
      <c r="H3132" s="708"/>
    </row>
    <row r="3133" spans="1:8" ht="15.75">
      <c r="A3133" s="599">
        <v>1</v>
      </c>
      <c r="B3133" s="599">
        <v>2</v>
      </c>
      <c r="C3133" s="604">
        <v>3</v>
      </c>
      <c r="D3133" s="604">
        <v>4</v>
      </c>
      <c r="E3133" s="605"/>
      <c r="F3133" s="606"/>
      <c r="G3133" s="600">
        <v>5</v>
      </c>
      <c r="H3133" s="599">
        <v>6</v>
      </c>
    </row>
    <row r="3134" spans="1:8" ht="12.75" customHeight="1">
      <c r="A3134" s="607">
        <v>1</v>
      </c>
      <c r="B3134" s="709" t="s">
        <v>624</v>
      </c>
      <c r="C3134" s="709"/>
      <c r="D3134" s="709"/>
      <c r="E3134" s="709"/>
      <c r="F3134" s="709"/>
      <c r="G3134" s="709"/>
      <c r="H3134" s="709"/>
    </row>
    <row r="3135" spans="1:8" ht="15.75">
      <c r="A3135" s="608" t="s">
        <v>74</v>
      </c>
      <c r="B3135" s="609" t="s">
        <v>625</v>
      </c>
      <c r="C3135" s="610" t="s">
        <v>379</v>
      </c>
      <c r="D3135" s="610" t="s">
        <v>379</v>
      </c>
      <c r="E3135" s="610" t="s">
        <v>379</v>
      </c>
      <c r="F3135" s="610" t="s">
        <v>379</v>
      </c>
      <c r="G3135" s="610" t="s">
        <v>379</v>
      </c>
      <c r="H3135" s="611" t="s">
        <v>626</v>
      </c>
    </row>
    <row r="3136" spans="1:8" ht="15.75">
      <c r="A3136" s="608" t="s">
        <v>313</v>
      </c>
      <c r="B3136" s="609" t="s">
        <v>627</v>
      </c>
      <c r="C3136" s="610" t="s">
        <v>379</v>
      </c>
      <c r="D3136" s="610" t="s">
        <v>379</v>
      </c>
      <c r="E3136" s="610" t="s">
        <v>379</v>
      </c>
      <c r="F3136" s="610" t="s">
        <v>379</v>
      </c>
      <c r="G3136" s="610" t="s">
        <v>379</v>
      </c>
      <c r="H3136" s="611" t="s">
        <v>626</v>
      </c>
    </row>
    <row r="3137" spans="1:8" ht="31.5">
      <c r="A3137" s="608" t="s">
        <v>315</v>
      </c>
      <c r="B3137" s="612" t="s">
        <v>628</v>
      </c>
      <c r="C3137" s="610" t="s">
        <v>379</v>
      </c>
      <c r="D3137" s="610" t="s">
        <v>379</v>
      </c>
      <c r="E3137" s="610" t="s">
        <v>379</v>
      </c>
      <c r="F3137" s="610" t="s">
        <v>379</v>
      </c>
      <c r="G3137" s="610" t="s">
        <v>379</v>
      </c>
      <c r="H3137" s="611" t="s">
        <v>626</v>
      </c>
    </row>
    <row r="3138" spans="1:8" ht="47.25">
      <c r="A3138" s="608" t="s">
        <v>317</v>
      </c>
      <c r="B3138" s="612" t="s">
        <v>629</v>
      </c>
      <c r="C3138" s="610" t="s">
        <v>379</v>
      </c>
      <c r="D3138" s="610" t="s">
        <v>379</v>
      </c>
      <c r="E3138" s="610" t="s">
        <v>379</v>
      </c>
      <c r="F3138" s="610" t="s">
        <v>379</v>
      </c>
      <c r="G3138" s="610" t="s">
        <v>379</v>
      </c>
      <c r="H3138" s="611" t="s">
        <v>626</v>
      </c>
    </row>
    <row r="3139" spans="1:8" ht="15.75">
      <c r="A3139" s="608" t="s">
        <v>630</v>
      </c>
      <c r="B3139" s="613" t="s">
        <v>631</v>
      </c>
      <c r="C3139" s="610" t="s">
        <v>379</v>
      </c>
      <c r="D3139" s="610" t="s">
        <v>379</v>
      </c>
      <c r="E3139" s="610" t="s">
        <v>379</v>
      </c>
      <c r="F3139" s="610" t="s">
        <v>379</v>
      </c>
      <c r="G3139" s="610" t="s">
        <v>379</v>
      </c>
      <c r="H3139" s="611" t="s">
        <v>626</v>
      </c>
    </row>
    <row r="3140" spans="1:8" ht="15.75">
      <c r="A3140" s="608" t="s">
        <v>632</v>
      </c>
      <c r="B3140" s="613" t="s">
        <v>633</v>
      </c>
      <c r="C3140" s="610" t="s">
        <v>379</v>
      </c>
      <c r="D3140" s="610" t="s">
        <v>379</v>
      </c>
      <c r="E3140" s="610" t="s">
        <v>379</v>
      </c>
      <c r="F3140" s="610" t="s">
        <v>379</v>
      </c>
      <c r="G3140" s="610" t="s">
        <v>379</v>
      </c>
      <c r="H3140" s="611" t="s">
        <v>626</v>
      </c>
    </row>
    <row r="3141" spans="1:8" ht="12.75" customHeight="1">
      <c r="A3141" s="608">
        <v>2</v>
      </c>
      <c r="B3141" s="706" t="s">
        <v>634</v>
      </c>
      <c r="C3141" s="706"/>
      <c r="D3141" s="706"/>
      <c r="E3141" s="706"/>
      <c r="F3141" s="706"/>
      <c r="G3141" s="706"/>
      <c r="H3141" s="706"/>
    </row>
    <row r="3142" spans="1:8" ht="31.5">
      <c r="A3142" s="608" t="s">
        <v>321</v>
      </c>
      <c r="B3142" s="612" t="s">
        <v>635</v>
      </c>
      <c r="C3142" s="610" t="s">
        <v>676</v>
      </c>
      <c r="D3142" s="610" t="s">
        <v>677</v>
      </c>
      <c r="E3142" s="610" t="s">
        <v>379</v>
      </c>
      <c r="F3142" s="610" t="s">
        <v>379</v>
      </c>
      <c r="G3142" s="614">
        <v>0</v>
      </c>
      <c r="H3142" s="611"/>
    </row>
    <row r="3143" spans="1:8" ht="47.25">
      <c r="A3143" s="608" t="s">
        <v>325</v>
      </c>
      <c r="B3143" s="612" t="s">
        <v>638</v>
      </c>
      <c r="C3143" s="610" t="s">
        <v>379</v>
      </c>
      <c r="D3143" s="610" t="s">
        <v>379</v>
      </c>
      <c r="E3143" s="610" t="s">
        <v>379</v>
      </c>
      <c r="F3143" s="610" t="s">
        <v>379</v>
      </c>
      <c r="G3143" s="610" t="s">
        <v>379</v>
      </c>
      <c r="H3143" s="611" t="s">
        <v>626</v>
      </c>
    </row>
    <row r="3144" spans="1:8" ht="31.5">
      <c r="A3144" s="608" t="s">
        <v>639</v>
      </c>
      <c r="B3144" s="612" t="s">
        <v>640</v>
      </c>
      <c r="C3144" s="610" t="s">
        <v>379</v>
      </c>
      <c r="D3144" s="610" t="s">
        <v>379</v>
      </c>
      <c r="E3144" s="610" t="s">
        <v>379</v>
      </c>
      <c r="F3144" s="610" t="s">
        <v>379</v>
      </c>
      <c r="G3144" s="610" t="s">
        <v>379</v>
      </c>
      <c r="H3144" s="611" t="s">
        <v>626</v>
      </c>
    </row>
    <row r="3145" spans="1:8" ht="12.75" customHeight="1">
      <c r="A3145" s="608">
        <v>3</v>
      </c>
      <c r="B3145" s="706" t="s">
        <v>641</v>
      </c>
      <c r="C3145" s="706"/>
      <c r="D3145" s="706"/>
      <c r="E3145" s="706"/>
      <c r="F3145" s="706"/>
      <c r="G3145" s="706"/>
      <c r="H3145" s="706"/>
    </row>
    <row r="3146" spans="1:8" ht="31.5">
      <c r="A3146" s="608" t="s">
        <v>378</v>
      </c>
      <c r="B3146" s="613" t="s">
        <v>642</v>
      </c>
      <c r="C3146" s="610" t="s">
        <v>379</v>
      </c>
      <c r="D3146" s="610" t="s">
        <v>379</v>
      </c>
      <c r="E3146" s="610" t="s">
        <v>379</v>
      </c>
      <c r="F3146" s="610" t="s">
        <v>379</v>
      </c>
      <c r="G3146" s="610" t="s">
        <v>379</v>
      </c>
      <c r="H3146" s="611" t="s">
        <v>626</v>
      </c>
    </row>
    <row r="3147" spans="1:8" ht="15.75">
      <c r="A3147" s="608" t="s">
        <v>643</v>
      </c>
      <c r="B3147" s="613" t="s">
        <v>644</v>
      </c>
      <c r="C3147" s="610" t="s">
        <v>676</v>
      </c>
      <c r="D3147" s="610" t="s">
        <v>678</v>
      </c>
      <c r="E3147" s="610" t="s">
        <v>379</v>
      </c>
      <c r="F3147" s="610" t="s">
        <v>379</v>
      </c>
      <c r="G3147" s="614">
        <v>0</v>
      </c>
      <c r="H3147" s="611"/>
    </row>
    <row r="3148" spans="1:8" ht="15.75">
      <c r="A3148" s="608" t="s">
        <v>380</v>
      </c>
      <c r="B3148" s="613" t="s">
        <v>646</v>
      </c>
      <c r="C3148" s="610" t="s">
        <v>679</v>
      </c>
      <c r="D3148" s="610" t="s">
        <v>680</v>
      </c>
      <c r="E3148" s="610" t="s">
        <v>379</v>
      </c>
      <c r="F3148" s="610" t="s">
        <v>379</v>
      </c>
      <c r="G3148" s="614">
        <v>0</v>
      </c>
      <c r="H3148" s="611"/>
    </row>
    <row r="3149" spans="1:8" ht="15.75">
      <c r="A3149" s="608" t="s">
        <v>649</v>
      </c>
      <c r="B3149" s="613" t="s">
        <v>650</v>
      </c>
      <c r="C3149" s="610" t="s">
        <v>681</v>
      </c>
      <c r="D3149" s="610" t="s">
        <v>682</v>
      </c>
      <c r="E3149" s="610" t="s">
        <v>379</v>
      </c>
      <c r="F3149" s="610" t="s">
        <v>379</v>
      </c>
      <c r="G3149" s="614">
        <v>0</v>
      </c>
      <c r="H3149" s="611"/>
    </row>
    <row r="3150" spans="1:8" ht="15.75">
      <c r="A3150" s="608" t="s">
        <v>653</v>
      </c>
      <c r="B3150" s="613" t="s">
        <v>654</v>
      </c>
      <c r="C3150" s="610" t="s">
        <v>682</v>
      </c>
      <c r="D3150" s="610" t="s">
        <v>677</v>
      </c>
      <c r="E3150" s="610" t="s">
        <v>379</v>
      </c>
      <c r="F3150" s="610" t="s">
        <v>379</v>
      </c>
      <c r="G3150" s="614">
        <v>0</v>
      </c>
      <c r="H3150" s="611"/>
    </row>
    <row r="3151" spans="1:8" ht="12.75" customHeight="1">
      <c r="A3151" s="608">
        <v>4</v>
      </c>
      <c r="B3151" s="706" t="s">
        <v>656</v>
      </c>
      <c r="C3151" s="706"/>
      <c r="D3151" s="706"/>
      <c r="E3151" s="706"/>
      <c r="F3151" s="706"/>
      <c r="G3151" s="706"/>
      <c r="H3151" s="706"/>
    </row>
    <row r="3152" spans="1:8" ht="31.5">
      <c r="A3152" s="608" t="s">
        <v>657</v>
      </c>
      <c r="B3152" s="612" t="s">
        <v>658</v>
      </c>
      <c r="C3152" s="610" t="s">
        <v>379</v>
      </c>
      <c r="D3152" s="610" t="s">
        <v>379</v>
      </c>
      <c r="E3152" s="610" t="s">
        <v>379</v>
      </c>
      <c r="F3152" s="610" t="s">
        <v>379</v>
      </c>
      <c r="G3152" s="610" t="s">
        <v>379</v>
      </c>
      <c r="H3152" s="611" t="s">
        <v>626</v>
      </c>
    </row>
    <row r="3153" spans="1:8" ht="47.25">
      <c r="A3153" s="608" t="s">
        <v>659</v>
      </c>
      <c r="B3153" s="612" t="s">
        <v>660</v>
      </c>
      <c r="C3153" s="610" t="s">
        <v>379</v>
      </c>
      <c r="D3153" s="610" t="s">
        <v>379</v>
      </c>
      <c r="E3153" s="610" t="s">
        <v>379</v>
      </c>
      <c r="F3153" s="610" t="s">
        <v>379</v>
      </c>
      <c r="G3153" s="610" t="s">
        <v>379</v>
      </c>
      <c r="H3153" s="611" t="s">
        <v>626</v>
      </c>
    </row>
    <row r="3154" spans="1:8" ht="31.5">
      <c r="A3154" s="608" t="s">
        <v>661</v>
      </c>
      <c r="B3154" s="613" t="s">
        <v>662</v>
      </c>
      <c r="C3154" s="610" t="s">
        <v>379</v>
      </c>
      <c r="D3154" s="610" t="s">
        <v>379</v>
      </c>
      <c r="E3154" s="610" t="s">
        <v>379</v>
      </c>
      <c r="F3154" s="610" t="s">
        <v>379</v>
      </c>
      <c r="G3154" s="610" t="s">
        <v>379</v>
      </c>
      <c r="H3154" s="611" t="s">
        <v>626</v>
      </c>
    </row>
    <row r="3155" spans="1:8" ht="31.5">
      <c r="A3155" s="615" t="s">
        <v>663</v>
      </c>
      <c r="B3155" s="616" t="s">
        <v>664</v>
      </c>
      <c r="C3155" s="617" t="s">
        <v>379</v>
      </c>
      <c r="D3155" s="617" t="s">
        <v>379</v>
      </c>
      <c r="E3155" s="617" t="s">
        <v>379</v>
      </c>
      <c r="F3155" s="617" t="s">
        <v>379</v>
      </c>
      <c r="G3155" s="617" t="s">
        <v>379</v>
      </c>
      <c r="H3155" s="618" t="s">
        <v>626</v>
      </c>
    </row>
    <row r="3156" spans="1:8" ht="15.75">
      <c r="A3156" s="619"/>
      <c r="B3156" s="620"/>
      <c r="C3156" s="621"/>
      <c r="D3156" s="621"/>
      <c r="E3156" s="621"/>
      <c r="F3156" s="621"/>
      <c r="G3156" s="621"/>
      <c r="H3156" s="148"/>
    </row>
    <row r="3157" spans="1:8" ht="12.75" customHeight="1">
      <c r="A3157" s="707" t="s">
        <v>665</v>
      </c>
      <c r="B3157" s="707"/>
      <c r="C3157" s="707"/>
      <c r="D3157" s="707"/>
      <c r="E3157" s="707"/>
      <c r="F3157" s="707"/>
      <c r="G3157" s="707"/>
      <c r="H3157" s="707"/>
    </row>
    <row r="3163" ht="15.75">
      <c r="H3163" s="11" t="s">
        <v>609</v>
      </c>
    </row>
    <row r="3164" ht="15.75">
      <c r="H3164" s="11" t="s">
        <v>610</v>
      </c>
    </row>
    <row r="3165" ht="15.75">
      <c r="H3165" s="11" t="s">
        <v>611</v>
      </c>
    </row>
    <row r="3166" ht="15.75">
      <c r="H3166" s="11"/>
    </row>
    <row r="3167" spans="1:8" ht="12.75" customHeight="1">
      <c r="A3167" s="713" t="s">
        <v>612</v>
      </c>
      <c r="B3167" s="713"/>
      <c r="C3167" s="713"/>
      <c r="D3167" s="713"/>
      <c r="E3167" s="713"/>
      <c r="F3167" s="713"/>
      <c r="G3167" s="713"/>
      <c r="H3167" s="713"/>
    </row>
    <row r="3168" spans="1:8" ht="12.75" customHeight="1">
      <c r="A3168" s="713" t="s">
        <v>613</v>
      </c>
      <c r="B3168" s="713"/>
      <c r="C3168" s="713"/>
      <c r="D3168" s="713"/>
      <c r="E3168" s="713"/>
      <c r="F3168" s="713"/>
      <c r="G3168" s="713"/>
      <c r="H3168" s="713"/>
    </row>
    <row r="3169" ht="15.75">
      <c r="H3169" s="11" t="s">
        <v>43</v>
      </c>
    </row>
    <row r="3170" ht="15.75">
      <c r="H3170" s="11" t="s">
        <v>44</v>
      </c>
    </row>
    <row r="3171" ht="15.75">
      <c r="H3171" s="11" t="s">
        <v>45</v>
      </c>
    </row>
    <row r="3172" ht="15.75">
      <c r="H3172" s="594" t="s">
        <v>614</v>
      </c>
    </row>
    <row r="3173" ht="15.75">
      <c r="H3173" s="11" t="s">
        <v>615</v>
      </c>
    </row>
    <row r="3174" ht="15.75">
      <c r="H3174" s="11" t="s">
        <v>47</v>
      </c>
    </row>
    <row r="3175" ht="15.75">
      <c r="A3175" s="595"/>
    </row>
    <row r="3176" ht="15.75">
      <c r="A3176" s="3" t="s">
        <v>802</v>
      </c>
    </row>
    <row r="3177" spans="1:8" ht="12.75" customHeight="1">
      <c r="A3177" s="717" t="s">
        <v>0</v>
      </c>
      <c r="B3177" s="714"/>
      <c r="C3177" s="714"/>
      <c r="D3177" s="714"/>
      <c r="E3177" s="714"/>
      <c r="F3177" s="714"/>
      <c r="G3177" s="714"/>
      <c r="H3177" s="714"/>
    </row>
    <row r="3178" spans="1:8" ht="16.5" thickBot="1">
      <c r="A3178" s="597"/>
      <c r="B3178" s="597"/>
      <c r="C3178" s="598"/>
      <c r="D3178" s="598"/>
      <c r="E3178" s="598"/>
      <c r="F3178" s="598"/>
      <c r="G3178" s="598"/>
      <c r="H3178" s="598"/>
    </row>
    <row r="3179" spans="1:8" ht="12.75" customHeight="1">
      <c r="A3179" s="708" t="s">
        <v>617</v>
      </c>
      <c r="B3179" s="710" t="s">
        <v>618</v>
      </c>
      <c r="C3179" s="711" t="s">
        <v>619</v>
      </c>
      <c r="D3179" s="711"/>
      <c r="E3179" s="711"/>
      <c r="F3179" s="711"/>
      <c r="G3179" s="712" t="s">
        <v>620</v>
      </c>
      <c r="H3179" s="708" t="s">
        <v>621</v>
      </c>
    </row>
    <row r="3180" spans="1:8" ht="15.75">
      <c r="A3180" s="708"/>
      <c r="B3180" s="710"/>
      <c r="C3180" s="711"/>
      <c r="D3180" s="711"/>
      <c r="E3180" s="711"/>
      <c r="F3180" s="711"/>
      <c r="G3180" s="712"/>
      <c r="H3180" s="708"/>
    </row>
    <row r="3181" spans="1:8" ht="31.5">
      <c r="A3181" s="708"/>
      <c r="B3181" s="710"/>
      <c r="C3181" s="601" t="s">
        <v>622</v>
      </c>
      <c r="D3181" s="601" t="s">
        <v>623</v>
      </c>
      <c r="E3181" s="602" t="s">
        <v>622</v>
      </c>
      <c r="F3181" s="603" t="s">
        <v>623</v>
      </c>
      <c r="G3181" s="712"/>
      <c r="H3181" s="708"/>
    </row>
    <row r="3182" spans="1:8" ht="15.75">
      <c r="A3182" s="599">
        <v>1</v>
      </c>
      <c r="B3182" s="599">
        <v>2</v>
      </c>
      <c r="C3182" s="604">
        <v>3</v>
      </c>
      <c r="D3182" s="604">
        <v>4</v>
      </c>
      <c r="E3182" s="605"/>
      <c r="F3182" s="606"/>
      <c r="G3182" s="600">
        <v>5</v>
      </c>
      <c r="H3182" s="599">
        <v>6</v>
      </c>
    </row>
    <row r="3183" spans="1:8" ht="12.75" customHeight="1">
      <c r="A3183" s="607">
        <v>1</v>
      </c>
      <c r="B3183" s="709" t="s">
        <v>624</v>
      </c>
      <c r="C3183" s="709"/>
      <c r="D3183" s="709"/>
      <c r="E3183" s="709"/>
      <c r="F3183" s="709"/>
      <c r="G3183" s="709"/>
      <c r="H3183" s="709"/>
    </row>
    <row r="3184" spans="1:8" ht="15.75">
      <c r="A3184" s="608" t="s">
        <v>74</v>
      </c>
      <c r="B3184" s="609" t="s">
        <v>625</v>
      </c>
      <c r="C3184" s="610" t="s">
        <v>379</v>
      </c>
      <c r="D3184" s="610" t="s">
        <v>379</v>
      </c>
      <c r="E3184" s="610" t="s">
        <v>379</v>
      </c>
      <c r="F3184" s="610" t="s">
        <v>379</v>
      </c>
      <c r="G3184" s="610" t="s">
        <v>379</v>
      </c>
      <c r="H3184" s="611" t="s">
        <v>626</v>
      </c>
    </row>
    <row r="3185" spans="1:8" ht="15.75">
      <c r="A3185" s="608" t="s">
        <v>313</v>
      </c>
      <c r="B3185" s="609" t="s">
        <v>627</v>
      </c>
      <c r="C3185" s="610" t="s">
        <v>379</v>
      </c>
      <c r="D3185" s="610" t="s">
        <v>379</v>
      </c>
      <c r="E3185" s="610" t="s">
        <v>379</v>
      </c>
      <c r="F3185" s="610" t="s">
        <v>379</v>
      </c>
      <c r="G3185" s="610" t="s">
        <v>379</v>
      </c>
      <c r="H3185" s="611" t="s">
        <v>626</v>
      </c>
    </row>
    <row r="3186" spans="1:8" ht="31.5">
      <c r="A3186" s="608" t="s">
        <v>315</v>
      </c>
      <c r="B3186" s="612" t="s">
        <v>628</v>
      </c>
      <c r="C3186" s="610" t="s">
        <v>379</v>
      </c>
      <c r="D3186" s="610" t="s">
        <v>379</v>
      </c>
      <c r="E3186" s="610" t="s">
        <v>379</v>
      </c>
      <c r="F3186" s="610" t="s">
        <v>379</v>
      </c>
      <c r="G3186" s="610" t="s">
        <v>379</v>
      </c>
      <c r="H3186" s="611" t="s">
        <v>626</v>
      </c>
    </row>
    <row r="3187" spans="1:8" ht="47.25">
      <c r="A3187" s="608" t="s">
        <v>317</v>
      </c>
      <c r="B3187" s="612" t="s">
        <v>629</v>
      </c>
      <c r="C3187" s="610" t="s">
        <v>379</v>
      </c>
      <c r="D3187" s="610" t="s">
        <v>379</v>
      </c>
      <c r="E3187" s="610" t="s">
        <v>379</v>
      </c>
      <c r="F3187" s="610" t="s">
        <v>379</v>
      </c>
      <c r="G3187" s="610" t="s">
        <v>379</v>
      </c>
      <c r="H3187" s="611" t="s">
        <v>626</v>
      </c>
    </row>
    <row r="3188" spans="1:8" ht="15.75">
      <c r="A3188" s="608" t="s">
        <v>630</v>
      </c>
      <c r="B3188" s="613" t="s">
        <v>631</v>
      </c>
      <c r="C3188" s="610" t="s">
        <v>379</v>
      </c>
      <c r="D3188" s="610" t="s">
        <v>379</v>
      </c>
      <c r="E3188" s="610" t="s">
        <v>379</v>
      </c>
      <c r="F3188" s="610" t="s">
        <v>379</v>
      </c>
      <c r="G3188" s="610" t="s">
        <v>379</v>
      </c>
      <c r="H3188" s="611" t="s">
        <v>626</v>
      </c>
    </row>
    <row r="3189" spans="1:8" ht="15.75">
      <c r="A3189" s="608" t="s">
        <v>632</v>
      </c>
      <c r="B3189" s="613" t="s">
        <v>633</v>
      </c>
      <c r="C3189" s="610" t="s">
        <v>379</v>
      </c>
      <c r="D3189" s="610" t="s">
        <v>379</v>
      </c>
      <c r="E3189" s="610" t="s">
        <v>379</v>
      </c>
      <c r="F3189" s="610" t="s">
        <v>379</v>
      </c>
      <c r="G3189" s="610" t="s">
        <v>379</v>
      </c>
      <c r="H3189" s="611" t="s">
        <v>626</v>
      </c>
    </row>
    <row r="3190" spans="1:8" ht="12.75" customHeight="1">
      <c r="A3190" s="608">
        <v>2</v>
      </c>
      <c r="B3190" s="706" t="s">
        <v>634</v>
      </c>
      <c r="C3190" s="706"/>
      <c r="D3190" s="706"/>
      <c r="E3190" s="706"/>
      <c r="F3190" s="706"/>
      <c r="G3190" s="706"/>
      <c r="H3190" s="706"/>
    </row>
    <row r="3191" spans="1:8" ht="31.5">
      <c r="A3191" s="608" t="s">
        <v>321</v>
      </c>
      <c r="B3191" s="612" t="s">
        <v>635</v>
      </c>
      <c r="C3191" s="610" t="s">
        <v>676</v>
      </c>
      <c r="D3191" s="610" t="s">
        <v>677</v>
      </c>
      <c r="E3191" s="610" t="s">
        <v>379</v>
      </c>
      <c r="F3191" s="610" t="s">
        <v>379</v>
      </c>
      <c r="G3191" s="614">
        <v>0</v>
      </c>
      <c r="H3191" s="611"/>
    </row>
    <row r="3192" spans="1:8" ht="47.25">
      <c r="A3192" s="608" t="s">
        <v>325</v>
      </c>
      <c r="B3192" s="612" t="s">
        <v>638</v>
      </c>
      <c r="C3192" s="610" t="s">
        <v>379</v>
      </c>
      <c r="D3192" s="610" t="s">
        <v>379</v>
      </c>
      <c r="E3192" s="610" t="s">
        <v>379</v>
      </c>
      <c r="F3192" s="610" t="s">
        <v>379</v>
      </c>
      <c r="G3192" s="610" t="s">
        <v>379</v>
      </c>
      <c r="H3192" s="611" t="s">
        <v>626</v>
      </c>
    </row>
    <row r="3193" spans="1:8" ht="31.5">
      <c r="A3193" s="608" t="s">
        <v>639</v>
      </c>
      <c r="B3193" s="612" t="s">
        <v>640</v>
      </c>
      <c r="C3193" s="610" t="s">
        <v>379</v>
      </c>
      <c r="D3193" s="610" t="s">
        <v>379</v>
      </c>
      <c r="E3193" s="610" t="s">
        <v>379</v>
      </c>
      <c r="F3193" s="610" t="s">
        <v>379</v>
      </c>
      <c r="G3193" s="610" t="s">
        <v>379</v>
      </c>
      <c r="H3193" s="611" t="s">
        <v>626</v>
      </c>
    </row>
    <row r="3194" spans="1:8" ht="12.75" customHeight="1">
      <c r="A3194" s="608">
        <v>3</v>
      </c>
      <c r="B3194" s="706" t="s">
        <v>641</v>
      </c>
      <c r="C3194" s="706"/>
      <c r="D3194" s="706"/>
      <c r="E3194" s="706"/>
      <c r="F3194" s="706"/>
      <c r="G3194" s="706"/>
      <c r="H3194" s="706"/>
    </row>
    <row r="3195" spans="1:8" ht="31.5">
      <c r="A3195" s="608" t="s">
        <v>378</v>
      </c>
      <c r="B3195" s="613" t="s">
        <v>642</v>
      </c>
      <c r="C3195" s="610" t="s">
        <v>379</v>
      </c>
      <c r="D3195" s="610" t="s">
        <v>379</v>
      </c>
      <c r="E3195" s="610" t="s">
        <v>379</v>
      </c>
      <c r="F3195" s="610" t="s">
        <v>379</v>
      </c>
      <c r="G3195" s="610" t="s">
        <v>379</v>
      </c>
      <c r="H3195" s="611" t="s">
        <v>626</v>
      </c>
    </row>
    <row r="3196" spans="1:8" ht="15.75">
      <c r="A3196" s="608" t="s">
        <v>643</v>
      </c>
      <c r="B3196" s="613" t="s">
        <v>644</v>
      </c>
      <c r="C3196" s="610" t="s">
        <v>676</v>
      </c>
      <c r="D3196" s="610" t="s">
        <v>678</v>
      </c>
      <c r="E3196" s="610" t="s">
        <v>379</v>
      </c>
      <c r="F3196" s="610" t="s">
        <v>379</v>
      </c>
      <c r="G3196" s="614">
        <v>0</v>
      </c>
      <c r="H3196" s="611"/>
    </row>
    <row r="3197" spans="1:8" ht="15.75">
      <c r="A3197" s="608" t="s">
        <v>380</v>
      </c>
      <c r="B3197" s="613" t="s">
        <v>646</v>
      </c>
      <c r="C3197" s="610" t="s">
        <v>679</v>
      </c>
      <c r="D3197" s="610" t="s">
        <v>680</v>
      </c>
      <c r="E3197" s="610" t="s">
        <v>379</v>
      </c>
      <c r="F3197" s="610" t="s">
        <v>379</v>
      </c>
      <c r="G3197" s="614">
        <v>0</v>
      </c>
      <c r="H3197" s="611"/>
    </row>
    <row r="3198" spans="1:8" ht="15.75">
      <c r="A3198" s="608" t="s">
        <v>649</v>
      </c>
      <c r="B3198" s="613" t="s">
        <v>650</v>
      </c>
      <c r="C3198" s="610" t="s">
        <v>681</v>
      </c>
      <c r="D3198" s="610" t="s">
        <v>682</v>
      </c>
      <c r="E3198" s="610" t="s">
        <v>379</v>
      </c>
      <c r="F3198" s="610" t="s">
        <v>379</v>
      </c>
      <c r="G3198" s="614">
        <v>0</v>
      </c>
      <c r="H3198" s="611"/>
    </row>
    <row r="3199" spans="1:8" ht="15.75">
      <c r="A3199" s="608" t="s">
        <v>653</v>
      </c>
      <c r="B3199" s="613" t="s">
        <v>654</v>
      </c>
      <c r="C3199" s="610" t="s">
        <v>682</v>
      </c>
      <c r="D3199" s="610" t="s">
        <v>677</v>
      </c>
      <c r="E3199" s="610" t="s">
        <v>379</v>
      </c>
      <c r="F3199" s="610" t="s">
        <v>379</v>
      </c>
      <c r="G3199" s="614">
        <v>0</v>
      </c>
      <c r="H3199" s="611"/>
    </row>
    <row r="3200" spans="1:8" ht="12.75" customHeight="1">
      <c r="A3200" s="608">
        <v>4</v>
      </c>
      <c r="B3200" s="706" t="s">
        <v>656</v>
      </c>
      <c r="C3200" s="706"/>
      <c r="D3200" s="706"/>
      <c r="E3200" s="706"/>
      <c r="F3200" s="706"/>
      <c r="G3200" s="706"/>
      <c r="H3200" s="706"/>
    </row>
    <row r="3201" spans="1:8" ht="31.5">
      <c r="A3201" s="608" t="s">
        <v>657</v>
      </c>
      <c r="B3201" s="612" t="s">
        <v>658</v>
      </c>
      <c r="C3201" s="610" t="s">
        <v>379</v>
      </c>
      <c r="D3201" s="610" t="s">
        <v>379</v>
      </c>
      <c r="E3201" s="610" t="s">
        <v>379</v>
      </c>
      <c r="F3201" s="610" t="s">
        <v>379</v>
      </c>
      <c r="G3201" s="610" t="s">
        <v>379</v>
      </c>
      <c r="H3201" s="611" t="s">
        <v>626</v>
      </c>
    </row>
    <row r="3202" spans="1:8" ht="47.25">
      <c r="A3202" s="608" t="s">
        <v>659</v>
      </c>
      <c r="B3202" s="612" t="s">
        <v>660</v>
      </c>
      <c r="C3202" s="610" t="s">
        <v>379</v>
      </c>
      <c r="D3202" s="610" t="s">
        <v>379</v>
      </c>
      <c r="E3202" s="610" t="s">
        <v>379</v>
      </c>
      <c r="F3202" s="610" t="s">
        <v>379</v>
      </c>
      <c r="G3202" s="610" t="s">
        <v>379</v>
      </c>
      <c r="H3202" s="611" t="s">
        <v>626</v>
      </c>
    </row>
    <row r="3203" spans="1:8" ht="31.5">
      <c r="A3203" s="608" t="s">
        <v>661</v>
      </c>
      <c r="B3203" s="613" t="s">
        <v>662</v>
      </c>
      <c r="C3203" s="610" t="s">
        <v>379</v>
      </c>
      <c r="D3203" s="610" t="s">
        <v>379</v>
      </c>
      <c r="E3203" s="610" t="s">
        <v>379</v>
      </c>
      <c r="F3203" s="610" t="s">
        <v>379</v>
      </c>
      <c r="G3203" s="610" t="s">
        <v>379</v>
      </c>
      <c r="H3203" s="611" t="s">
        <v>626</v>
      </c>
    </row>
    <row r="3204" spans="1:8" ht="31.5">
      <c r="A3204" s="615" t="s">
        <v>663</v>
      </c>
      <c r="B3204" s="616" t="s">
        <v>664</v>
      </c>
      <c r="C3204" s="617" t="s">
        <v>379</v>
      </c>
      <c r="D3204" s="617" t="s">
        <v>379</v>
      </c>
      <c r="E3204" s="617" t="s">
        <v>379</v>
      </c>
      <c r="F3204" s="617" t="s">
        <v>379</v>
      </c>
      <c r="G3204" s="617" t="s">
        <v>379</v>
      </c>
      <c r="H3204" s="618" t="s">
        <v>626</v>
      </c>
    </row>
    <row r="3205" spans="1:8" ht="15.75">
      <c r="A3205" s="619"/>
      <c r="B3205" s="620"/>
      <c r="C3205" s="621"/>
      <c r="D3205" s="621"/>
      <c r="E3205" s="621"/>
      <c r="F3205" s="621"/>
      <c r="G3205" s="621"/>
      <c r="H3205" s="148"/>
    </row>
    <row r="3206" spans="1:8" ht="12.75" customHeight="1">
      <c r="A3206" s="707" t="s">
        <v>665</v>
      </c>
      <c r="B3206" s="707"/>
      <c r="C3206" s="707"/>
      <c r="D3206" s="707"/>
      <c r="E3206" s="707"/>
      <c r="F3206" s="707"/>
      <c r="G3206" s="707"/>
      <c r="H3206" s="707"/>
    </row>
    <row r="3211" ht="15.75">
      <c r="H3211" s="11" t="s">
        <v>609</v>
      </c>
    </row>
    <row r="3212" ht="15.75">
      <c r="H3212" s="11" t="s">
        <v>610</v>
      </c>
    </row>
    <row r="3213" ht="15.75">
      <c r="H3213" s="11" t="s">
        <v>611</v>
      </c>
    </row>
    <row r="3214" ht="15.75">
      <c r="H3214" s="11"/>
    </row>
    <row r="3215" spans="1:8" ht="12.75" customHeight="1">
      <c r="A3215" s="713" t="s">
        <v>612</v>
      </c>
      <c r="B3215" s="713"/>
      <c r="C3215" s="713"/>
      <c r="D3215" s="713"/>
      <c r="E3215" s="713"/>
      <c r="F3215" s="713"/>
      <c r="G3215" s="713"/>
      <c r="H3215" s="713"/>
    </row>
    <row r="3216" spans="1:8" ht="12.75" customHeight="1">
      <c r="A3216" s="713" t="s">
        <v>613</v>
      </c>
      <c r="B3216" s="713"/>
      <c r="C3216" s="713"/>
      <c r="D3216" s="713"/>
      <c r="E3216" s="713"/>
      <c r="F3216" s="713"/>
      <c r="G3216" s="713"/>
      <c r="H3216" s="713"/>
    </row>
    <row r="3217" ht="15.75">
      <c r="H3217" s="11" t="s">
        <v>43</v>
      </c>
    </row>
    <row r="3218" ht="15.75">
      <c r="H3218" s="11" t="s">
        <v>44</v>
      </c>
    </row>
    <row r="3219" ht="15.75">
      <c r="H3219" s="11" t="s">
        <v>45</v>
      </c>
    </row>
    <row r="3220" ht="15.75">
      <c r="H3220" s="594" t="s">
        <v>614</v>
      </c>
    </row>
    <row r="3221" ht="15.75">
      <c r="H3221" s="11" t="s">
        <v>615</v>
      </c>
    </row>
    <row r="3222" ht="15.75">
      <c r="H3222" s="11" t="s">
        <v>47</v>
      </c>
    </row>
    <row r="3223" ht="15.75">
      <c r="A3223" s="595"/>
    </row>
    <row r="3224" ht="15.75">
      <c r="A3224" s="3" t="s">
        <v>803</v>
      </c>
    </row>
    <row r="3225" spans="1:8" ht="12.75" customHeight="1">
      <c r="A3225" s="717" t="s">
        <v>0</v>
      </c>
      <c r="B3225" s="714"/>
      <c r="C3225" s="714"/>
      <c r="D3225" s="714"/>
      <c r="E3225" s="714"/>
      <c r="F3225" s="714"/>
      <c r="G3225" s="714"/>
      <c r="H3225" s="714"/>
    </row>
    <row r="3226" spans="1:8" ht="16.5" thickBot="1">
      <c r="A3226" s="597"/>
      <c r="B3226" s="597"/>
      <c r="C3226" s="598"/>
      <c r="D3226" s="598"/>
      <c r="E3226" s="598"/>
      <c r="F3226" s="598"/>
      <c r="G3226" s="598"/>
      <c r="H3226" s="598"/>
    </row>
    <row r="3227" spans="1:8" ht="12.75" customHeight="1">
      <c r="A3227" s="708" t="s">
        <v>617</v>
      </c>
      <c r="B3227" s="710" t="s">
        <v>618</v>
      </c>
      <c r="C3227" s="711" t="s">
        <v>619</v>
      </c>
      <c r="D3227" s="711"/>
      <c r="E3227" s="711"/>
      <c r="F3227" s="711"/>
      <c r="G3227" s="712" t="s">
        <v>620</v>
      </c>
      <c r="H3227" s="708" t="s">
        <v>621</v>
      </c>
    </row>
    <row r="3228" spans="1:8" ht="15.75">
      <c r="A3228" s="708"/>
      <c r="B3228" s="710"/>
      <c r="C3228" s="711"/>
      <c r="D3228" s="711"/>
      <c r="E3228" s="711"/>
      <c r="F3228" s="711"/>
      <c r="G3228" s="712"/>
      <c r="H3228" s="708"/>
    </row>
    <row r="3229" spans="1:8" ht="31.5">
      <c r="A3229" s="708"/>
      <c r="B3229" s="710"/>
      <c r="C3229" s="601" t="s">
        <v>622</v>
      </c>
      <c r="D3229" s="601" t="s">
        <v>623</v>
      </c>
      <c r="E3229" s="602" t="s">
        <v>622</v>
      </c>
      <c r="F3229" s="603" t="s">
        <v>623</v>
      </c>
      <c r="G3229" s="712"/>
      <c r="H3229" s="708"/>
    </row>
    <row r="3230" spans="1:8" ht="15.75">
      <c r="A3230" s="599">
        <v>1</v>
      </c>
      <c r="B3230" s="599">
        <v>2</v>
      </c>
      <c r="C3230" s="604">
        <v>3</v>
      </c>
      <c r="D3230" s="604">
        <v>4</v>
      </c>
      <c r="E3230" s="605"/>
      <c r="F3230" s="606"/>
      <c r="G3230" s="600">
        <v>5</v>
      </c>
      <c r="H3230" s="599">
        <v>6</v>
      </c>
    </row>
    <row r="3231" spans="1:8" ht="12.75" customHeight="1">
      <c r="A3231" s="607">
        <v>1</v>
      </c>
      <c r="B3231" s="709" t="s">
        <v>624</v>
      </c>
      <c r="C3231" s="709"/>
      <c r="D3231" s="709"/>
      <c r="E3231" s="709"/>
      <c r="F3231" s="709"/>
      <c r="G3231" s="709"/>
      <c r="H3231" s="709"/>
    </row>
    <row r="3232" spans="1:8" ht="15.75">
      <c r="A3232" s="608" t="s">
        <v>74</v>
      </c>
      <c r="B3232" s="609" t="s">
        <v>625</v>
      </c>
      <c r="C3232" s="610" t="s">
        <v>379</v>
      </c>
      <c r="D3232" s="610" t="s">
        <v>379</v>
      </c>
      <c r="E3232" s="610" t="s">
        <v>379</v>
      </c>
      <c r="F3232" s="610" t="s">
        <v>379</v>
      </c>
      <c r="G3232" s="610" t="s">
        <v>379</v>
      </c>
      <c r="H3232" s="611" t="s">
        <v>626</v>
      </c>
    </row>
    <row r="3233" spans="1:8" ht="15.75">
      <c r="A3233" s="608" t="s">
        <v>313</v>
      </c>
      <c r="B3233" s="609" t="s">
        <v>627</v>
      </c>
      <c r="C3233" s="610" t="s">
        <v>379</v>
      </c>
      <c r="D3233" s="610" t="s">
        <v>379</v>
      </c>
      <c r="E3233" s="610" t="s">
        <v>379</v>
      </c>
      <c r="F3233" s="610" t="s">
        <v>379</v>
      </c>
      <c r="G3233" s="610" t="s">
        <v>379</v>
      </c>
      <c r="H3233" s="611" t="s">
        <v>626</v>
      </c>
    </row>
    <row r="3234" spans="1:8" ht="31.5">
      <c r="A3234" s="608" t="s">
        <v>315</v>
      </c>
      <c r="B3234" s="612" t="s">
        <v>628</v>
      </c>
      <c r="C3234" s="610" t="s">
        <v>379</v>
      </c>
      <c r="D3234" s="610" t="s">
        <v>379</v>
      </c>
      <c r="E3234" s="610" t="s">
        <v>379</v>
      </c>
      <c r="F3234" s="610" t="s">
        <v>379</v>
      </c>
      <c r="G3234" s="610" t="s">
        <v>379</v>
      </c>
      <c r="H3234" s="611" t="s">
        <v>626</v>
      </c>
    </row>
    <row r="3235" spans="1:8" ht="47.25">
      <c r="A3235" s="608" t="s">
        <v>317</v>
      </c>
      <c r="B3235" s="612" t="s">
        <v>629</v>
      </c>
      <c r="C3235" s="610" t="s">
        <v>379</v>
      </c>
      <c r="D3235" s="610" t="s">
        <v>379</v>
      </c>
      <c r="E3235" s="610" t="s">
        <v>379</v>
      </c>
      <c r="F3235" s="610" t="s">
        <v>379</v>
      </c>
      <c r="G3235" s="610" t="s">
        <v>379</v>
      </c>
      <c r="H3235" s="611" t="s">
        <v>626</v>
      </c>
    </row>
    <row r="3236" spans="1:8" ht="15.75">
      <c r="A3236" s="608" t="s">
        <v>630</v>
      </c>
      <c r="B3236" s="613" t="s">
        <v>631</v>
      </c>
      <c r="C3236" s="610" t="s">
        <v>379</v>
      </c>
      <c r="D3236" s="610" t="s">
        <v>379</v>
      </c>
      <c r="E3236" s="610" t="s">
        <v>379</v>
      </c>
      <c r="F3236" s="610" t="s">
        <v>379</v>
      </c>
      <c r="G3236" s="610" t="s">
        <v>379</v>
      </c>
      <c r="H3236" s="611" t="s">
        <v>626</v>
      </c>
    </row>
    <row r="3237" spans="1:8" ht="15.75">
      <c r="A3237" s="608" t="s">
        <v>632</v>
      </c>
      <c r="B3237" s="613" t="s">
        <v>633</v>
      </c>
      <c r="C3237" s="610" t="s">
        <v>379</v>
      </c>
      <c r="D3237" s="610" t="s">
        <v>379</v>
      </c>
      <c r="E3237" s="610" t="s">
        <v>379</v>
      </c>
      <c r="F3237" s="610" t="s">
        <v>379</v>
      </c>
      <c r="G3237" s="610" t="s">
        <v>379</v>
      </c>
      <c r="H3237" s="611" t="s">
        <v>626</v>
      </c>
    </row>
    <row r="3238" spans="1:8" ht="12.75" customHeight="1">
      <c r="A3238" s="608">
        <v>2</v>
      </c>
      <c r="B3238" s="706" t="s">
        <v>634</v>
      </c>
      <c r="C3238" s="706"/>
      <c r="D3238" s="706"/>
      <c r="E3238" s="706"/>
      <c r="F3238" s="706"/>
      <c r="G3238" s="706"/>
      <c r="H3238" s="706"/>
    </row>
    <row r="3239" spans="1:8" ht="31.5">
      <c r="A3239" s="608" t="s">
        <v>321</v>
      </c>
      <c r="B3239" s="612" t="s">
        <v>635</v>
      </c>
      <c r="C3239" s="610" t="s">
        <v>676</v>
      </c>
      <c r="D3239" s="610" t="s">
        <v>677</v>
      </c>
      <c r="E3239" s="610" t="s">
        <v>379</v>
      </c>
      <c r="F3239" s="610" t="s">
        <v>379</v>
      </c>
      <c r="G3239" s="614">
        <v>0</v>
      </c>
      <c r="H3239" s="611"/>
    </row>
    <row r="3240" spans="1:8" ht="47.25">
      <c r="A3240" s="608" t="s">
        <v>325</v>
      </c>
      <c r="B3240" s="612" t="s">
        <v>638</v>
      </c>
      <c r="C3240" s="610" t="s">
        <v>379</v>
      </c>
      <c r="D3240" s="610" t="s">
        <v>379</v>
      </c>
      <c r="E3240" s="610" t="s">
        <v>379</v>
      </c>
      <c r="F3240" s="610" t="s">
        <v>379</v>
      </c>
      <c r="G3240" s="610" t="s">
        <v>379</v>
      </c>
      <c r="H3240" s="611" t="s">
        <v>626</v>
      </c>
    </row>
    <row r="3241" spans="1:8" ht="31.5">
      <c r="A3241" s="608" t="s">
        <v>639</v>
      </c>
      <c r="B3241" s="612" t="s">
        <v>640</v>
      </c>
      <c r="C3241" s="610" t="s">
        <v>379</v>
      </c>
      <c r="D3241" s="610" t="s">
        <v>379</v>
      </c>
      <c r="E3241" s="610" t="s">
        <v>379</v>
      </c>
      <c r="F3241" s="610" t="s">
        <v>379</v>
      </c>
      <c r="G3241" s="610" t="s">
        <v>379</v>
      </c>
      <c r="H3241" s="611" t="s">
        <v>626</v>
      </c>
    </row>
    <row r="3242" spans="1:8" ht="12.75" customHeight="1">
      <c r="A3242" s="608">
        <v>3</v>
      </c>
      <c r="B3242" s="706" t="s">
        <v>641</v>
      </c>
      <c r="C3242" s="706"/>
      <c r="D3242" s="706"/>
      <c r="E3242" s="706"/>
      <c r="F3242" s="706"/>
      <c r="G3242" s="706"/>
      <c r="H3242" s="706"/>
    </row>
    <row r="3243" spans="1:8" ht="31.5">
      <c r="A3243" s="608" t="s">
        <v>378</v>
      </c>
      <c r="B3243" s="613" t="s">
        <v>642</v>
      </c>
      <c r="C3243" s="610" t="s">
        <v>379</v>
      </c>
      <c r="D3243" s="610" t="s">
        <v>379</v>
      </c>
      <c r="E3243" s="610" t="s">
        <v>379</v>
      </c>
      <c r="F3243" s="610" t="s">
        <v>379</v>
      </c>
      <c r="G3243" s="610" t="s">
        <v>379</v>
      </c>
      <c r="H3243" s="611" t="s">
        <v>626</v>
      </c>
    </row>
    <row r="3244" spans="1:8" ht="15.75">
      <c r="A3244" s="608" t="s">
        <v>643</v>
      </c>
      <c r="B3244" s="613" t="s">
        <v>644</v>
      </c>
      <c r="C3244" s="610" t="s">
        <v>676</v>
      </c>
      <c r="D3244" s="610" t="s">
        <v>678</v>
      </c>
      <c r="E3244" s="610" t="s">
        <v>379</v>
      </c>
      <c r="F3244" s="610" t="s">
        <v>379</v>
      </c>
      <c r="G3244" s="614">
        <v>0</v>
      </c>
      <c r="H3244" s="611"/>
    </row>
    <row r="3245" spans="1:8" ht="15.75">
      <c r="A3245" s="608" t="s">
        <v>380</v>
      </c>
      <c r="B3245" s="613" t="s">
        <v>646</v>
      </c>
      <c r="C3245" s="610" t="s">
        <v>679</v>
      </c>
      <c r="D3245" s="610" t="s">
        <v>680</v>
      </c>
      <c r="E3245" s="610" t="s">
        <v>379</v>
      </c>
      <c r="F3245" s="610" t="s">
        <v>379</v>
      </c>
      <c r="G3245" s="614">
        <v>0</v>
      </c>
      <c r="H3245" s="611"/>
    </row>
    <row r="3246" spans="1:8" ht="15.75">
      <c r="A3246" s="608" t="s">
        <v>649</v>
      </c>
      <c r="B3246" s="613" t="s">
        <v>650</v>
      </c>
      <c r="C3246" s="610" t="s">
        <v>681</v>
      </c>
      <c r="D3246" s="610" t="s">
        <v>682</v>
      </c>
      <c r="E3246" s="610" t="s">
        <v>379</v>
      </c>
      <c r="F3246" s="610" t="s">
        <v>379</v>
      </c>
      <c r="G3246" s="614">
        <v>0</v>
      </c>
      <c r="H3246" s="611"/>
    </row>
    <row r="3247" spans="1:8" ht="15.75">
      <c r="A3247" s="608" t="s">
        <v>653</v>
      </c>
      <c r="B3247" s="613" t="s">
        <v>654</v>
      </c>
      <c r="C3247" s="610" t="s">
        <v>682</v>
      </c>
      <c r="D3247" s="610" t="s">
        <v>677</v>
      </c>
      <c r="E3247" s="610" t="s">
        <v>379</v>
      </c>
      <c r="F3247" s="610" t="s">
        <v>379</v>
      </c>
      <c r="G3247" s="614">
        <v>0</v>
      </c>
      <c r="H3247" s="611"/>
    </row>
    <row r="3248" spans="1:8" ht="12.75" customHeight="1">
      <c r="A3248" s="608">
        <v>4</v>
      </c>
      <c r="B3248" s="706" t="s">
        <v>656</v>
      </c>
      <c r="C3248" s="706"/>
      <c r="D3248" s="706"/>
      <c r="E3248" s="706"/>
      <c r="F3248" s="706"/>
      <c r="G3248" s="706"/>
      <c r="H3248" s="706"/>
    </row>
    <row r="3249" spans="1:8" ht="31.5">
      <c r="A3249" s="608" t="s">
        <v>657</v>
      </c>
      <c r="B3249" s="612" t="s">
        <v>658</v>
      </c>
      <c r="C3249" s="610" t="s">
        <v>379</v>
      </c>
      <c r="D3249" s="610" t="s">
        <v>379</v>
      </c>
      <c r="E3249" s="610" t="s">
        <v>379</v>
      </c>
      <c r="F3249" s="610" t="s">
        <v>379</v>
      </c>
      <c r="G3249" s="610" t="s">
        <v>379</v>
      </c>
      <c r="H3249" s="611" t="s">
        <v>626</v>
      </c>
    </row>
    <row r="3250" spans="1:8" ht="47.25">
      <c r="A3250" s="608" t="s">
        <v>659</v>
      </c>
      <c r="B3250" s="612" t="s">
        <v>660</v>
      </c>
      <c r="C3250" s="610" t="s">
        <v>379</v>
      </c>
      <c r="D3250" s="610" t="s">
        <v>379</v>
      </c>
      <c r="E3250" s="610" t="s">
        <v>379</v>
      </c>
      <c r="F3250" s="610" t="s">
        <v>379</v>
      </c>
      <c r="G3250" s="610" t="s">
        <v>379</v>
      </c>
      <c r="H3250" s="611" t="s">
        <v>626</v>
      </c>
    </row>
    <row r="3251" spans="1:8" ht="31.5">
      <c r="A3251" s="608" t="s">
        <v>661</v>
      </c>
      <c r="B3251" s="613" t="s">
        <v>662</v>
      </c>
      <c r="C3251" s="610" t="s">
        <v>379</v>
      </c>
      <c r="D3251" s="610" t="s">
        <v>379</v>
      </c>
      <c r="E3251" s="610" t="s">
        <v>379</v>
      </c>
      <c r="F3251" s="610" t="s">
        <v>379</v>
      </c>
      <c r="G3251" s="610" t="s">
        <v>379</v>
      </c>
      <c r="H3251" s="611" t="s">
        <v>626</v>
      </c>
    </row>
    <row r="3252" spans="1:8" ht="31.5">
      <c r="A3252" s="615" t="s">
        <v>663</v>
      </c>
      <c r="B3252" s="616" t="s">
        <v>664</v>
      </c>
      <c r="C3252" s="617" t="s">
        <v>379</v>
      </c>
      <c r="D3252" s="617" t="s">
        <v>379</v>
      </c>
      <c r="E3252" s="617" t="s">
        <v>379</v>
      </c>
      <c r="F3252" s="617" t="s">
        <v>379</v>
      </c>
      <c r="G3252" s="617" t="s">
        <v>379</v>
      </c>
      <c r="H3252" s="618" t="s">
        <v>626</v>
      </c>
    </row>
    <row r="3253" spans="1:8" ht="15.75">
      <c r="A3253" s="619"/>
      <c r="B3253" s="620"/>
      <c r="C3253" s="621"/>
      <c r="D3253" s="621"/>
      <c r="E3253" s="621"/>
      <c r="F3253" s="621"/>
      <c r="G3253" s="621"/>
      <c r="H3253" s="148"/>
    </row>
    <row r="3254" spans="1:8" ht="12.75" customHeight="1">
      <c r="A3254" s="707" t="s">
        <v>665</v>
      </c>
      <c r="B3254" s="707"/>
      <c r="C3254" s="707"/>
      <c r="D3254" s="707"/>
      <c r="E3254" s="707"/>
      <c r="F3254" s="707"/>
      <c r="G3254" s="707"/>
      <c r="H3254" s="707"/>
    </row>
    <row r="3259" ht="15.75">
      <c r="H3259" s="11" t="s">
        <v>609</v>
      </c>
    </row>
    <row r="3260" ht="15.75">
      <c r="H3260" s="11" t="s">
        <v>610</v>
      </c>
    </row>
    <row r="3261" ht="15.75">
      <c r="H3261" s="11" t="s">
        <v>611</v>
      </c>
    </row>
    <row r="3262" ht="15.75">
      <c r="H3262" s="11"/>
    </row>
    <row r="3263" spans="1:8" ht="12.75" customHeight="1">
      <c r="A3263" s="713" t="s">
        <v>612</v>
      </c>
      <c r="B3263" s="713"/>
      <c r="C3263" s="713"/>
      <c r="D3263" s="713"/>
      <c r="E3263" s="713"/>
      <c r="F3263" s="713"/>
      <c r="G3263" s="713"/>
      <c r="H3263" s="713"/>
    </row>
    <row r="3264" spans="1:8" ht="12.75" customHeight="1">
      <c r="A3264" s="713" t="s">
        <v>613</v>
      </c>
      <c r="B3264" s="713"/>
      <c r="C3264" s="713"/>
      <c r="D3264" s="713"/>
      <c r="E3264" s="713"/>
      <c r="F3264" s="713"/>
      <c r="G3264" s="713"/>
      <c r="H3264" s="713"/>
    </row>
    <row r="3265" ht="15.75">
      <c r="H3265" s="11" t="s">
        <v>43</v>
      </c>
    </row>
    <row r="3266" ht="15.75">
      <c r="H3266" s="11" t="s">
        <v>44</v>
      </c>
    </row>
    <row r="3267" ht="15.75">
      <c r="H3267" s="11" t="s">
        <v>45</v>
      </c>
    </row>
    <row r="3268" ht="15.75">
      <c r="H3268" s="594" t="s">
        <v>614</v>
      </c>
    </row>
    <row r="3269" ht="15.75">
      <c r="H3269" s="11" t="s">
        <v>615</v>
      </c>
    </row>
    <row r="3270" ht="15.75">
      <c r="H3270" s="11" t="s">
        <v>47</v>
      </c>
    </row>
    <row r="3271" ht="15.75">
      <c r="A3271" s="595"/>
    </row>
    <row r="3272" ht="15.75">
      <c r="A3272" s="3" t="s">
        <v>804</v>
      </c>
    </row>
    <row r="3273" spans="1:8" ht="12.75" customHeight="1">
      <c r="A3273" s="717" t="s">
        <v>0</v>
      </c>
      <c r="B3273" s="714"/>
      <c r="C3273" s="714"/>
      <c r="D3273" s="714"/>
      <c r="E3273" s="714"/>
      <c r="F3273" s="714"/>
      <c r="G3273" s="714"/>
      <c r="H3273" s="714"/>
    </row>
    <row r="3274" spans="1:8" ht="16.5" thickBot="1">
      <c r="A3274" s="597"/>
      <c r="B3274" s="597"/>
      <c r="C3274" s="598"/>
      <c r="D3274" s="598"/>
      <c r="E3274" s="598"/>
      <c r="F3274" s="598"/>
      <c r="G3274" s="598"/>
      <c r="H3274" s="598"/>
    </row>
    <row r="3275" spans="1:8" ht="12.75" customHeight="1">
      <c r="A3275" s="708" t="s">
        <v>617</v>
      </c>
      <c r="B3275" s="710" t="s">
        <v>618</v>
      </c>
      <c r="C3275" s="711" t="s">
        <v>619</v>
      </c>
      <c r="D3275" s="711"/>
      <c r="E3275" s="711"/>
      <c r="F3275" s="711"/>
      <c r="G3275" s="712" t="s">
        <v>620</v>
      </c>
      <c r="H3275" s="708" t="s">
        <v>621</v>
      </c>
    </row>
    <row r="3276" spans="1:8" ht="15.75">
      <c r="A3276" s="708"/>
      <c r="B3276" s="710"/>
      <c r="C3276" s="711"/>
      <c r="D3276" s="711"/>
      <c r="E3276" s="711"/>
      <c r="F3276" s="711"/>
      <c r="G3276" s="712"/>
      <c r="H3276" s="708"/>
    </row>
    <row r="3277" spans="1:8" ht="31.5">
      <c r="A3277" s="708"/>
      <c r="B3277" s="710"/>
      <c r="C3277" s="601" t="s">
        <v>622</v>
      </c>
      <c r="D3277" s="601" t="s">
        <v>623</v>
      </c>
      <c r="E3277" s="602" t="s">
        <v>622</v>
      </c>
      <c r="F3277" s="603" t="s">
        <v>623</v>
      </c>
      <c r="G3277" s="712"/>
      <c r="H3277" s="708"/>
    </row>
    <row r="3278" spans="1:8" ht="15.75">
      <c r="A3278" s="599">
        <v>1</v>
      </c>
      <c r="B3278" s="599">
        <v>2</v>
      </c>
      <c r="C3278" s="604">
        <v>3</v>
      </c>
      <c r="D3278" s="604">
        <v>4</v>
      </c>
      <c r="E3278" s="605"/>
      <c r="F3278" s="606"/>
      <c r="G3278" s="600">
        <v>5</v>
      </c>
      <c r="H3278" s="599">
        <v>6</v>
      </c>
    </row>
    <row r="3279" spans="1:8" ht="12.75" customHeight="1">
      <c r="A3279" s="607">
        <v>1</v>
      </c>
      <c r="B3279" s="709" t="s">
        <v>624</v>
      </c>
      <c r="C3279" s="709"/>
      <c r="D3279" s="709"/>
      <c r="E3279" s="709"/>
      <c r="F3279" s="709"/>
      <c r="G3279" s="709"/>
      <c r="H3279" s="709"/>
    </row>
    <row r="3280" spans="1:8" ht="15.75">
      <c r="A3280" s="608" t="s">
        <v>74</v>
      </c>
      <c r="B3280" s="609" t="s">
        <v>625</v>
      </c>
      <c r="C3280" s="610" t="s">
        <v>379</v>
      </c>
      <c r="D3280" s="610" t="s">
        <v>379</v>
      </c>
      <c r="E3280" s="610" t="s">
        <v>379</v>
      </c>
      <c r="F3280" s="610" t="s">
        <v>379</v>
      </c>
      <c r="G3280" s="610" t="s">
        <v>379</v>
      </c>
      <c r="H3280" s="611" t="s">
        <v>626</v>
      </c>
    </row>
    <row r="3281" spans="1:8" ht="15.75">
      <c r="A3281" s="608" t="s">
        <v>313</v>
      </c>
      <c r="B3281" s="609" t="s">
        <v>627</v>
      </c>
      <c r="C3281" s="610" t="s">
        <v>379</v>
      </c>
      <c r="D3281" s="610" t="s">
        <v>379</v>
      </c>
      <c r="E3281" s="610" t="s">
        <v>379</v>
      </c>
      <c r="F3281" s="610" t="s">
        <v>379</v>
      </c>
      <c r="G3281" s="610" t="s">
        <v>379</v>
      </c>
      <c r="H3281" s="611" t="s">
        <v>626</v>
      </c>
    </row>
    <row r="3282" spans="1:8" ht="31.5">
      <c r="A3282" s="608" t="s">
        <v>315</v>
      </c>
      <c r="B3282" s="612" t="s">
        <v>628</v>
      </c>
      <c r="C3282" s="610" t="s">
        <v>379</v>
      </c>
      <c r="D3282" s="610" t="s">
        <v>379</v>
      </c>
      <c r="E3282" s="610" t="s">
        <v>379</v>
      </c>
      <c r="F3282" s="610" t="s">
        <v>379</v>
      </c>
      <c r="G3282" s="610" t="s">
        <v>379</v>
      </c>
      <c r="H3282" s="611" t="s">
        <v>626</v>
      </c>
    </row>
    <row r="3283" spans="1:8" ht="47.25">
      <c r="A3283" s="608" t="s">
        <v>317</v>
      </c>
      <c r="B3283" s="612" t="s">
        <v>629</v>
      </c>
      <c r="C3283" s="610" t="s">
        <v>379</v>
      </c>
      <c r="D3283" s="610" t="s">
        <v>379</v>
      </c>
      <c r="E3283" s="610" t="s">
        <v>379</v>
      </c>
      <c r="F3283" s="610" t="s">
        <v>379</v>
      </c>
      <c r="G3283" s="610" t="s">
        <v>379</v>
      </c>
      <c r="H3283" s="611" t="s">
        <v>626</v>
      </c>
    </row>
    <row r="3284" spans="1:8" ht="15.75">
      <c r="A3284" s="608" t="s">
        <v>630</v>
      </c>
      <c r="B3284" s="613" t="s">
        <v>631</v>
      </c>
      <c r="C3284" s="610" t="s">
        <v>379</v>
      </c>
      <c r="D3284" s="610" t="s">
        <v>379</v>
      </c>
      <c r="E3284" s="610" t="s">
        <v>379</v>
      </c>
      <c r="F3284" s="610" t="s">
        <v>379</v>
      </c>
      <c r="G3284" s="610" t="s">
        <v>379</v>
      </c>
      <c r="H3284" s="611" t="s">
        <v>626</v>
      </c>
    </row>
    <row r="3285" spans="1:8" ht="15.75">
      <c r="A3285" s="608" t="s">
        <v>632</v>
      </c>
      <c r="B3285" s="613" t="s">
        <v>633</v>
      </c>
      <c r="C3285" s="610" t="s">
        <v>379</v>
      </c>
      <c r="D3285" s="610" t="s">
        <v>379</v>
      </c>
      <c r="E3285" s="610" t="s">
        <v>379</v>
      </c>
      <c r="F3285" s="610" t="s">
        <v>379</v>
      </c>
      <c r="G3285" s="610" t="s">
        <v>379</v>
      </c>
      <c r="H3285" s="611" t="s">
        <v>626</v>
      </c>
    </row>
    <row r="3286" spans="1:8" ht="12.75" customHeight="1">
      <c r="A3286" s="608">
        <v>2</v>
      </c>
      <c r="B3286" s="706" t="s">
        <v>634</v>
      </c>
      <c r="C3286" s="706"/>
      <c r="D3286" s="706"/>
      <c r="E3286" s="706"/>
      <c r="F3286" s="706"/>
      <c r="G3286" s="706"/>
      <c r="H3286" s="706"/>
    </row>
    <row r="3287" spans="1:8" ht="31.5">
      <c r="A3287" s="608" t="s">
        <v>321</v>
      </c>
      <c r="B3287" s="612" t="s">
        <v>635</v>
      </c>
      <c r="C3287" s="610" t="s">
        <v>710</v>
      </c>
      <c r="D3287" s="610" t="s">
        <v>744</v>
      </c>
      <c r="E3287" s="610" t="s">
        <v>379</v>
      </c>
      <c r="F3287" s="610" t="s">
        <v>379</v>
      </c>
      <c r="G3287" s="614">
        <v>0</v>
      </c>
      <c r="H3287" s="611"/>
    </row>
    <row r="3288" spans="1:8" ht="47.25">
      <c r="A3288" s="608" t="s">
        <v>325</v>
      </c>
      <c r="B3288" s="612" t="s">
        <v>638</v>
      </c>
      <c r="C3288" s="610" t="s">
        <v>379</v>
      </c>
      <c r="D3288" s="610" t="s">
        <v>379</v>
      </c>
      <c r="E3288" s="610" t="s">
        <v>379</v>
      </c>
      <c r="F3288" s="610" t="s">
        <v>379</v>
      </c>
      <c r="G3288" s="610" t="s">
        <v>379</v>
      </c>
      <c r="H3288" s="611" t="s">
        <v>626</v>
      </c>
    </row>
    <row r="3289" spans="1:8" ht="31.5">
      <c r="A3289" s="608" t="s">
        <v>639</v>
      </c>
      <c r="B3289" s="612" t="s">
        <v>640</v>
      </c>
      <c r="C3289" s="610" t="s">
        <v>379</v>
      </c>
      <c r="D3289" s="610" t="s">
        <v>379</v>
      </c>
      <c r="E3289" s="610" t="s">
        <v>379</v>
      </c>
      <c r="F3289" s="610" t="s">
        <v>379</v>
      </c>
      <c r="G3289" s="610" t="s">
        <v>379</v>
      </c>
      <c r="H3289" s="611" t="s">
        <v>626</v>
      </c>
    </row>
    <row r="3290" spans="1:8" ht="12.75" customHeight="1">
      <c r="A3290" s="608">
        <v>3</v>
      </c>
      <c r="B3290" s="706" t="s">
        <v>641</v>
      </c>
      <c r="C3290" s="706"/>
      <c r="D3290" s="706"/>
      <c r="E3290" s="706"/>
      <c r="F3290" s="706"/>
      <c r="G3290" s="706"/>
      <c r="H3290" s="706"/>
    </row>
    <row r="3291" spans="1:8" ht="31.5">
      <c r="A3291" s="608" t="s">
        <v>378</v>
      </c>
      <c r="B3291" s="613" t="s">
        <v>642</v>
      </c>
      <c r="C3291" s="610" t="s">
        <v>379</v>
      </c>
      <c r="D3291" s="610" t="s">
        <v>379</v>
      </c>
      <c r="E3291" s="610" t="s">
        <v>379</v>
      </c>
      <c r="F3291" s="610" t="s">
        <v>379</v>
      </c>
      <c r="G3291" s="610" t="s">
        <v>379</v>
      </c>
      <c r="H3291" s="611" t="s">
        <v>626</v>
      </c>
    </row>
    <row r="3292" spans="1:8" ht="15.75">
      <c r="A3292" s="608" t="s">
        <v>643</v>
      </c>
      <c r="B3292" s="613" t="s">
        <v>644</v>
      </c>
      <c r="C3292" s="610" t="s">
        <v>710</v>
      </c>
      <c r="D3292" s="610" t="s">
        <v>667</v>
      </c>
      <c r="E3292" s="610" t="s">
        <v>379</v>
      </c>
      <c r="F3292" s="610" t="s">
        <v>379</v>
      </c>
      <c r="G3292" s="614">
        <v>0</v>
      </c>
      <c r="H3292" s="611"/>
    </row>
    <row r="3293" spans="1:8" ht="15.75">
      <c r="A3293" s="608" t="s">
        <v>380</v>
      </c>
      <c r="B3293" s="613" t="s">
        <v>646</v>
      </c>
      <c r="C3293" s="610" t="s">
        <v>713</v>
      </c>
      <c r="D3293" s="610" t="s">
        <v>745</v>
      </c>
      <c r="E3293" s="610" t="s">
        <v>379</v>
      </c>
      <c r="F3293" s="610" t="s">
        <v>379</v>
      </c>
      <c r="G3293" s="614">
        <v>0</v>
      </c>
      <c r="H3293" s="611"/>
    </row>
    <row r="3294" spans="1:8" ht="15.75">
      <c r="A3294" s="608" t="s">
        <v>649</v>
      </c>
      <c r="B3294" s="613" t="s">
        <v>650</v>
      </c>
      <c r="C3294" s="610" t="s">
        <v>715</v>
      </c>
      <c r="D3294" s="610" t="s">
        <v>805</v>
      </c>
      <c r="E3294" s="610" t="s">
        <v>379</v>
      </c>
      <c r="F3294" s="610" t="s">
        <v>379</v>
      </c>
      <c r="G3294" s="614">
        <v>0</v>
      </c>
      <c r="H3294" s="611"/>
    </row>
    <row r="3295" spans="1:8" ht="15.75">
      <c r="A3295" s="608" t="s">
        <v>653</v>
      </c>
      <c r="B3295" s="613" t="s">
        <v>654</v>
      </c>
      <c r="C3295" s="610" t="s">
        <v>806</v>
      </c>
      <c r="D3295" s="610" t="s">
        <v>744</v>
      </c>
      <c r="E3295" s="610" t="s">
        <v>379</v>
      </c>
      <c r="F3295" s="610" t="s">
        <v>379</v>
      </c>
      <c r="G3295" s="614">
        <v>0</v>
      </c>
      <c r="H3295" s="611"/>
    </row>
    <row r="3296" spans="1:8" ht="12.75" customHeight="1">
      <c r="A3296" s="608">
        <v>4</v>
      </c>
      <c r="B3296" s="706" t="s">
        <v>656</v>
      </c>
      <c r="C3296" s="706"/>
      <c r="D3296" s="706"/>
      <c r="E3296" s="706"/>
      <c r="F3296" s="706"/>
      <c r="G3296" s="706"/>
      <c r="H3296" s="706"/>
    </row>
    <row r="3297" spans="1:8" ht="31.5">
      <c r="A3297" s="608" t="s">
        <v>657</v>
      </c>
      <c r="B3297" s="612" t="s">
        <v>658</v>
      </c>
      <c r="C3297" s="610" t="s">
        <v>379</v>
      </c>
      <c r="D3297" s="610" t="s">
        <v>379</v>
      </c>
      <c r="E3297" s="610" t="s">
        <v>379</v>
      </c>
      <c r="F3297" s="610" t="s">
        <v>379</v>
      </c>
      <c r="G3297" s="610" t="s">
        <v>379</v>
      </c>
      <c r="H3297" s="611" t="s">
        <v>626</v>
      </c>
    </row>
    <row r="3298" spans="1:8" ht="47.25">
      <c r="A3298" s="608" t="s">
        <v>659</v>
      </c>
      <c r="B3298" s="612" t="s">
        <v>660</v>
      </c>
      <c r="C3298" s="610" t="s">
        <v>379</v>
      </c>
      <c r="D3298" s="610" t="s">
        <v>379</v>
      </c>
      <c r="E3298" s="610" t="s">
        <v>379</v>
      </c>
      <c r="F3298" s="610" t="s">
        <v>379</v>
      </c>
      <c r="G3298" s="610" t="s">
        <v>379</v>
      </c>
      <c r="H3298" s="611" t="s">
        <v>626</v>
      </c>
    </row>
    <row r="3299" spans="1:8" ht="31.5">
      <c r="A3299" s="608" t="s">
        <v>661</v>
      </c>
      <c r="B3299" s="613" t="s">
        <v>662</v>
      </c>
      <c r="C3299" s="610" t="s">
        <v>379</v>
      </c>
      <c r="D3299" s="610" t="s">
        <v>379</v>
      </c>
      <c r="E3299" s="610" t="s">
        <v>379</v>
      </c>
      <c r="F3299" s="610" t="s">
        <v>379</v>
      </c>
      <c r="G3299" s="610" t="s">
        <v>379</v>
      </c>
      <c r="H3299" s="611" t="s">
        <v>626</v>
      </c>
    </row>
    <row r="3300" spans="1:8" ht="31.5">
      <c r="A3300" s="615" t="s">
        <v>663</v>
      </c>
      <c r="B3300" s="616" t="s">
        <v>664</v>
      </c>
      <c r="C3300" s="617" t="s">
        <v>379</v>
      </c>
      <c r="D3300" s="617" t="s">
        <v>379</v>
      </c>
      <c r="E3300" s="617" t="s">
        <v>379</v>
      </c>
      <c r="F3300" s="617" t="s">
        <v>379</v>
      </c>
      <c r="G3300" s="617" t="s">
        <v>379</v>
      </c>
      <c r="H3300" s="618" t="s">
        <v>626</v>
      </c>
    </row>
    <row r="3301" spans="1:8" ht="15.75">
      <c r="A3301" s="619"/>
      <c r="B3301" s="620"/>
      <c r="C3301" s="621"/>
      <c r="D3301" s="621"/>
      <c r="E3301" s="621"/>
      <c r="F3301" s="621"/>
      <c r="G3301" s="621"/>
      <c r="H3301" s="148"/>
    </row>
    <row r="3302" spans="1:8" ht="12.75" customHeight="1">
      <c r="A3302" s="707" t="s">
        <v>665</v>
      </c>
      <c r="B3302" s="707"/>
      <c r="C3302" s="707"/>
      <c r="D3302" s="707"/>
      <c r="E3302" s="707"/>
      <c r="F3302" s="707"/>
      <c r="G3302" s="707"/>
      <c r="H3302" s="707"/>
    </row>
    <row r="3303" spans="1:8" ht="15.75">
      <c r="A3303" s="622"/>
      <c r="B3303" s="622"/>
      <c r="C3303" s="622"/>
      <c r="D3303" s="622"/>
      <c r="E3303" s="622"/>
      <c r="F3303" s="622"/>
      <c r="G3303" s="622"/>
      <c r="H3303" s="622"/>
    </row>
    <row r="3304" spans="1:8" ht="15.75">
      <c r="A3304" s="622"/>
      <c r="B3304" s="622"/>
      <c r="C3304" s="622"/>
      <c r="D3304" s="622"/>
      <c r="E3304" s="622"/>
      <c r="F3304" s="622"/>
      <c r="G3304" s="622"/>
      <c r="H3304" s="622"/>
    </row>
    <row r="3306" ht="15.75">
      <c r="H3306" s="11" t="s">
        <v>609</v>
      </c>
    </row>
    <row r="3307" ht="15.75">
      <c r="H3307" s="11" t="s">
        <v>610</v>
      </c>
    </row>
    <row r="3308" ht="15.75">
      <c r="H3308" s="11" t="s">
        <v>611</v>
      </c>
    </row>
    <row r="3309" ht="15.75">
      <c r="H3309" s="11"/>
    </row>
    <row r="3310" spans="1:8" ht="12.75" customHeight="1">
      <c r="A3310" s="713" t="s">
        <v>612</v>
      </c>
      <c r="B3310" s="713"/>
      <c r="C3310" s="713"/>
      <c r="D3310" s="713"/>
      <c r="E3310" s="713"/>
      <c r="F3310" s="713"/>
      <c r="G3310" s="713"/>
      <c r="H3310" s="713"/>
    </row>
    <row r="3311" spans="1:8" ht="12.75" customHeight="1">
      <c r="A3311" s="713" t="s">
        <v>613</v>
      </c>
      <c r="B3311" s="713"/>
      <c r="C3311" s="713"/>
      <c r="D3311" s="713"/>
      <c r="E3311" s="713"/>
      <c r="F3311" s="713"/>
      <c r="G3311" s="713"/>
      <c r="H3311" s="713"/>
    </row>
    <row r="3312" ht="15.75">
      <c r="H3312" s="11" t="s">
        <v>43</v>
      </c>
    </row>
    <row r="3313" ht="15.75">
      <c r="H3313" s="11" t="s">
        <v>44</v>
      </c>
    </row>
    <row r="3314" ht="15.75">
      <c r="H3314" s="11" t="s">
        <v>45</v>
      </c>
    </row>
    <row r="3315" ht="15.75">
      <c r="H3315" s="594" t="s">
        <v>614</v>
      </c>
    </row>
    <row r="3316" ht="15.75">
      <c r="H3316" s="11" t="s">
        <v>615</v>
      </c>
    </row>
    <row r="3317" ht="15.75">
      <c r="H3317" s="11" t="s">
        <v>47</v>
      </c>
    </row>
    <row r="3318" ht="15.75">
      <c r="A3318" s="595"/>
    </row>
    <row r="3319" ht="15.75">
      <c r="A3319" s="3" t="s">
        <v>807</v>
      </c>
    </row>
    <row r="3320" spans="1:8" ht="12.75" customHeight="1">
      <c r="A3320" s="717" t="s">
        <v>0</v>
      </c>
      <c r="B3320" s="714"/>
      <c r="C3320" s="714"/>
      <c r="D3320" s="714"/>
      <c r="E3320" s="714"/>
      <c r="F3320" s="714"/>
      <c r="G3320" s="714"/>
      <c r="H3320" s="714"/>
    </row>
    <row r="3321" spans="1:8" ht="16.5" thickBot="1">
      <c r="A3321" s="597"/>
      <c r="B3321" s="597"/>
      <c r="C3321" s="598"/>
      <c r="D3321" s="598"/>
      <c r="E3321" s="598"/>
      <c r="F3321" s="598"/>
      <c r="G3321" s="598"/>
      <c r="H3321" s="598"/>
    </row>
    <row r="3322" spans="1:8" ht="12.75" customHeight="1">
      <c r="A3322" s="708" t="s">
        <v>617</v>
      </c>
      <c r="B3322" s="710" t="s">
        <v>618</v>
      </c>
      <c r="C3322" s="711" t="s">
        <v>619</v>
      </c>
      <c r="D3322" s="711"/>
      <c r="E3322" s="711"/>
      <c r="F3322" s="711"/>
      <c r="G3322" s="712" t="s">
        <v>620</v>
      </c>
      <c r="H3322" s="708" t="s">
        <v>621</v>
      </c>
    </row>
    <row r="3323" spans="1:8" ht="15.75">
      <c r="A3323" s="708"/>
      <c r="B3323" s="710"/>
      <c r="C3323" s="711"/>
      <c r="D3323" s="711"/>
      <c r="E3323" s="711"/>
      <c r="F3323" s="711"/>
      <c r="G3323" s="712"/>
      <c r="H3323" s="708"/>
    </row>
    <row r="3324" spans="1:8" ht="31.5">
      <c r="A3324" s="708"/>
      <c r="B3324" s="710"/>
      <c r="C3324" s="601" t="s">
        <v>622</v>
      </c>
      <c r="D3324" s="601" t="s">
        <v>623</v>
      </c>
      <c r="E3324" s="602" t="s">
        <v>622</v>
      </c>
      <c r="F3324" s="603" t="s">
        <v>623</v>
      </c>
      <c r="G3324" s="712"/>
      <c r="H3324" s="708"/>
    </row>
    <row r="3325" spans="1:8" ht="15.75">
      <c r="A3325" s="599">
        <v>1</v>
      </c>
      <c r="B3325" s="599">
        <v>2</v>
      </c>
      <c r="C3325" s="604">
        <v>3</v>
      </c>
      <c r="D3325" s="604">
        <v>4</v>
      </c>
      <c r="E3325" s="605"/>
      <c r="F3325" s="606"/>
      <c r="G3325" s="600">
        <v>5</v>
      </c>
      <c r="H3325" s="599">
        <v>6</v>
      </c>
    </row>
    <row r="3326" spans="1:8" ht="12.75" customHeight="1">
      <c r="A3326" s="607">
        <v>1</v>
      </c>
      <c r="B3326" s="709" t="s">
        <v>624</v>
      </c>
      <c r="C3326" s="709"/>
      <c r="D3326" s="709"/>
      <c r="E3326" s="709"/>
      <c r="F3326" s="709"/>
      <c r="G3326" s="709"/>
      <c r="H3326" s="709"/>
    </row>
    <row r="3327" spans="1:8" ht="15.75">
      <c r="A3327" s="608" t="s">
        <v>74</v>
      </c>
      <c r="B3327" s="609" t="s">
        <v>625</v>
      </c>
      <c r="C3327" s="610" t="s">
        <v>379</v>
      </c>
      <c r="D3327" s="610" t="s">
        <v>379</v>
      </c>
      <c r="E3327" s="610" t="s">
        <v>379</v>
      </c>
      <c r="F3327" s="610" t="s">
        <v>379</v>
      </c>
      <c r="G3327" s="610" t="s">
        <v>379</v>
      </c>
      <c r="H3327" s="611" t="s">
        <v>626</v>
      </c>
    </row>
    <row r="3328" spans="1:8" ht="15.75">
      <c r="A3328" s="608" t="s">
        <v>313</v>
      </c>
      <c r="B3328" s="609" t="s">
        <v>627</v>
      </c>
      <c r="C3328" s="610" t="s">
        <v>379</v>
      </c>
      <c r="D3328" s="610" t="s">
        <v>379</v>
      </c>
      <c r="E3328" s="610" t="s">
        <v>379</v>
      </c>
      <c r="F3328" s="610" t="s">
        <v>379</v>
      </c>
      <c r="G3328" s="610" t="s">
        <v>379</v>
      </c>
      <c r="H3328" s="611" t="s">
        <v>626</v>
      </c>
    </row>
    <row r="3329" spans="1:8" ht="31.5">
      <c r="A3329" s="608" t="s">
        <v>315</v>
      </c>
      <c r="B3329" s="612" t="s">
        <v>628</v>
      </c>
      <c r="C3329" s="610" t="s">
        <v>379</v>
      </c>
      <c r="D3329" s="610" t="s">
        <v>379</v>
      </c>
      <c r="E3329" s="610" t="s">
        <v>379</v>
      </c>
      <c r="F3329" s="610" t="s">
        <v>379</v>
      </c>
      <c r="G3329" s="610" t="s">
        <v>379</v>
      </c>
      <c r="H3329" s="611" t="s">
        <v>626</v>
      </c>
    </row>
    <row r="3330" spans="1:8" ht="47.25">
      <c r="A3330" s="608" t="s">
        <v>317</v>
      </c>
      <c r="B3330" s="612" t="s">
        <v>629</v>
      </c>
      <c r="C3330" s="610" t="s">
        <v>379</v>
      </c>
      <c r="D3330" s="610" t="s">
        <v>379</v>
      </c>
      <c r="E3330" s="610" t="s">
        <v>379</v>
      </c>
      <c r="F3330" s="610" t="s">
        <v>379</v>
      </c>
      <c r="G3330" s="610" t="s">
        <v>379</v>
      </c>
      <c r="H3330" s="611" t="s">
        <v>626</v>
      </c>
    </row>
    <row r="3331" spans="1:8" ht="15.75">
      <c r="A3331" s="608" t="s">
        <v>630</v>
      </c>
      <c r="B3331" s="613" t="s">
        <v>631</v>
      </c>
      <c r="C3331" s="610" t="s">
        <v>379</v>
      </c>
      <c r="D3331" s="610" t="s">
        <v>379</v>
      </c>
      <c r="E3331" s="610" t="s">
        <v>379</v>
      </c>
      <c r="F3331" s="610" t="s">
        <v>379</v>
      </c>
      <c r="G3331" s="610" t="s">
        <v>379</v>
      </c>
      <c r="H3331" s="611" t="s">
        <v>626</v>
      </c>
    </row>
    <row r="3332" spans="1:8" ht="15.75">
      <c r="A3332" s="608" t="s">
        <v>632</v>
      </c>
      <c r="B3332" s="613" t="s">
        <v>633</v>
      </c>
      <c r="C3332" s="610" t="s">
        <v>379</v>
      </c>
      <c r="D3332" s="610" t="s">
        <v>379</v>
      </c>
      <c r="E3332" s="610" t="s">
        <v>379</v>
      </c>
      <c r="F3332" s="610" t="s">
        <v>379</v>
      </c>
      <c r="G3332" s="610" t="s">
        <v>379</v>
      </c>
      <c r="H3332" s="611" t="s">
        <v>626</v>
      </c>
    </row>
    <row r="3333" spans="1:8" ht="12.75" customHeight="1">
      <c r="A3333" s="608">
        <v>2</v>
      </c>
      <c r="B3333" s="706" t="s">
        <v>634</v>
      </c>
      <c r="C3333" s="706"/>
      <c r="D3333" s="706"/>
      <c r="E3333" s="706"/>
      <c r="F3333" s="706"/>
      <c r="G3333" s="706"/>
      <c r="H3333" s="706"/>
    </row>
    <row r="3334" spans="1:8" ht="31.5">
      <c r="A3334" s="608" t="s">
        <v>321</v>
      </c>
      <c r="B3334" s="612" t="s">
        <v>635</v>
      </c>
      <c r="C3334" s="610" t="s">
        <v>636</v>
      </c>
      <c r="D3334" s="610" t="s">
        <v>725</v>
      </c>
      <c r="E3334" s="610" t="s">
        <v>379</v>
      </c>
      <c r="F3334" s="610" t="s">
        <v>379</v>
      </c>
      <c r="G3334" s="614">
        <v>0</v>
      </c>
      <c r="H3334" s="611"/>
    </row>
    <row r="3335" spans="1:8" ht="47.25">
      <c r="A3335" s="608" t="s">
        <v>325</v>
      </c>
      <c r="B3335" s="612" t="s">
        <v>638</v>
      </c>
      <c r="C3335" s="610" t="s">
        <v>379</v>
      </c>
      <c r="D3335" s="610" t="s">
        <v>379</v>
      </c>
      <c r="E3335" s="610" t="s">
        <v>379</v>
      </c>
      <c r="F3335" s="610" t="s">
        <v>379</v>
      </c>
      <c r="G3335" s="610" t="s">
        <v>379</v>
      </c>
      <c r="H3335" s="611" t="s">
        <v>626</v>
      </c>
    </row>
    <row r="3336" spans="1:8" ht="31.5">
      <c r="A3336" s="608" t="s">
        <v>639</v>
      </c>
      <c r="B3336" s="612" t="s">
        <v>640</v>
      </c>
      <c r="C3336" s="610" t="s">
        <v>379</v>
      </c>
      <c r="D3336" s="610" t="s">
        <v>379</v>
      </c>
      <c r="E3336" s="610" t="s">
        <v>379</v>
      </c>
      <c r="F3336" s="610" t="s">
        <v>379</v>
      </c>
      <c r="G3336" s="610" t="s">
        <v>379</v>
      </c>
      <c r="H3336" s="611" t="s">
        <v>626</v>
      </c>
    </row>
    <row r="3337" spans="1:8" ht="12.75" customHeight="1">
      <c r="A3337" s="608">
        <v>3</v>
      </c>
      <c r="B3337" s="706" t="s">
        <v>641</v>
      </c>
      <c r="C3337" s="706"/>
      <c r="D3337" s="706"/>
      <c r="E3337" s="706"/>
      <c r="F3337" s="706"/>
      <c r="G3337" s="706"/>
      <c r="H3337" s="706"/>
    </row>
    <row r="3338" spans="1:8" ht="31.5">
      <c r="A3338" s="608" t="s">
        <v>378</v>
      </c>
      <c r="B3338" s="613" t="s">
        <v>642</v>
      </c>
      <c r="C3338" s="610" t="s">
        <v>379</v>
      </c>
      <c r="D3338" s="610" t="s">
        <v>379</v>
      </c>
      <c r="E3338" s="610" t="s">
        <v>379</v>
      </c>
      <c r="F3338" s="610" t="s">
        <v>379</v>
      </c>
      <c r="G3338" s="610" t="s">
        <v>379</v>
      </c>
      <c r="H3338" s="611" t="s">
        <v>626</v>
      </c>
    </row>
    <row r="3339" spans="1:8" ht="15.75">
      <c r="A3339" s="608" t="s">
        <v>643</v>
      </c>
      <c r="B3339" s="613" t="s">
        <v>644</v>
      </c>
      <c r="C3339" s="610" t="s">
        <v>636</v>
      </c>
      <c r="D3339" s="610" t="s">
        <v>764</v>
      </c>
      <c r="E3339" s="610" t="s">
        <v>379</v>
      </c>
      <c r="F3339" s="610" t="s">
        <v>379</v>
      </c>
      <c r="G3339" s="614">
        <v>0</v>
      </c>
      <c r="H3339" s="611"/>
    </row>
    <row r="3340" spans="1:8" ht="15.75">
      <c r="A3340" s="608" t="s">
        <v>380</v>
      </c>
      <c r="B3340" s="613" t="s">
        <v>646</v>
      </c>
      <c r="C3340" s="610" t="s">
        <v>636</v>
      </c>
      <c r="D3340" s="610" t="s">
        <v>727</v>
      </c>
      <c r="E3340" s="610" t="s">
        <v>379</v>
      </c>
      <c r="F3340" s="610" t="s">
        <v>379</v>
      </c>
      <c r="G3340" s="614">
        <v>0</v>
      </c>
      <c r="H3340" s="611"/>
    </row>
    <row r="3341" spans="1:8" ht="15.75">
      <c r="A3341" s="608" t="s">
        <v>649</v>
      </c>
      <c r="B3341" s="613" t="s">
        <v>650</v>
      </c>
      <c r="C3341" s="610" t="s">
        <v>647</v>
      </c>
      <c r="D3341" s="610" t="s">
        <v>728</v>
      </c>
      <c r="E3341" s="610" t="s">
        <v>379</v>
      </c>
      <c r="F3341" s="610" t="s">
        <v>379</v>
      </c>
      <c r="G3341" s="614">
        <v>0</v>
      </c>
      <c r="H3341" s="611"/>
    </row>
    <row r="3342" spans="1:8" ht="15.75">
      <c r="A3342" s="608" t="s">
        <v>653</v>
      </c>
      <c r="B3342" s="613" t="s">
        <v>654</v>
      </c>
      <c r="C3342" s="610" t="s">
        <v>729</v>
      </c>
      <c r="D3342" s="610" t="s">
        <v>725</v>
      </c>
      <c r="E3342" s="610" t="s">
        <v>379</v>
      </c>
      <c r="F3342" s="610" t="s">
        <v>379</v>
      </c>
      <c r="G3342" s="614">
        <v>0</v>
      </c>
      <c r="H3342" s="611"/>
    </row>
    <row r="3343" spans="1:8" ht="12.75" customHeight="1">
      <c r="A3343" s="608">
        <v>4</v>
      </c>
      <c r="B3343" s="706" t="s">
        <v>656</v>
      </c>
      <c r="C3343" s="706"/>
      <c r="D3343" s="706"/>
      <c r="E3343" s="706"/>
      <c r="F3343" s="706"/>
      <c r="G3343" s="706"/>
      <c r="H3343" s="706"/>
    </row>
    <row r="3344" spans="1:8" ht="31.5">
      <c r="A3344" s="608" t="s">
        <v>657</v>
      </c>
      <c r="B3344" s="612" t="s">
        <v>658</v>
      </c>
      <c r="C3344" s="610" t="s">
        <v>379</v>
      </c>
      <c r="D3344" s="610" t="s">
        <v>379</v>
      </c>
      <c r="E3344" s="610" t="s">
        <v>379</v>
      </c>
      <c r="F3344" s="610" t="s">
        <v>379</v>
      </c>
      <c r="G3344" s="610" t="s">
        <v>379</v>
      </c>
      <c r="H3344" s="611" t="s">
        <v>626</v>
      </c>
    </row>
    <row r="3345" spans="1:8" ht="47.25">
      <c r="A3345" s="608" t="s">
        <v>659</v>
      </c>
      <c r="B3345" s="612" t="s">
        <v>660</v>
      </c>
      <c r="C3345" s="610" t="s">
        <v>379</v>
      </c>
      <c r="D3345" s="610" t="s">
        <v>379</v>
      </c>
      <c r="E3345" s="610" t="s">
        <v>379</v>
      </c>
      <c r="F3345" s="610" t="s">
        <v>379</v>
      </c>
      <c r="G3345" s="610" t="s">
        <v>379</v>
      </c>
      <c r="H3345" s="611" t="s">
        <v>626</v>
      </c>
    </row>
    <row r="3346" spans="1:8" ht="31.5">
      <c r="A3346" s="608" t="s">
        <v>661</v>
      </c>
      <c r="B3346" s="613" t="s">
        <v>662</v>
      </c>
      <c r="C3346" s="610" t="s">
        <v>379</v>
      </c>
      <c r="D3346" s="610" t="s">
        <v>379</v>
      </c>
      <c r="E3346" s="610" t="s">
        <v>379</v>
      </c>
      <c r="F3346" s="610" t="s">
        <v>379</v>
      </c>
      <c r="G3346" s="610" t="s">
        <v>379</v>
      </c>
      <c r="H3346" s="611" t="s">
        <v>626</v>
      </c>
    </row>
    <row r="3347" spans="1:8" ht="31.5">
      <c r="A3347" s="615" t="s">
        <v>663</v>
      </c>
      <c r="B3347" s="616" t="s">
        <v>664</v>
      </c>
      <c r="C3347" s="617" t="s">
        <v>379</v>
      </c>
      <c r="D3347" s="617" t="s">
        <v>379</v>
      </c>
      <c r="E3347" s="617" t="s">
        <v>379</v>
      </c>
      <c r="F3347" s="617" t="s">
        <v>379</v>
      </c>
      <c r="G3347" s="617" t="s">
        <v>379</v>
      </c>
      <c r="H3347" s="618" t="s">
        <v>626</v>
      </c>
    </row>
    <row r="3348" spans="1:8" ht="15.75">
      <c r="A3348" s="619"/>
      <c r="B3348" s="620"/>
      <c r="C3348" s="621"/>
      <c r="D3348" s="621"/>
      <c r="E3348" s="621"/>
      <c r="F3348" s="621"/>
      <c r="G3348" s="621"/>
      <c r="H3348" s="148"/>
    </row>
    <row r="3349" spans="1:8" ht="12.75" customHeight="1">
      <c r="A3349" s="707" t="s">
        <v>665</v>
      </c>
      <c r="B3349" s="707"/>
      <c r="C3349" s="707"/>
      <c r="D3349" s="707"/>
      <c r="E3349" s="707"/>
      <c r="F3349" s="707"/>
      <c r="G3349" s="707"/>
      <c r="H3349" s="707"/>
    </row>
    <row r="3350" spans="1:8" ht="15.75">
      <c r="A3350" s="622"/>
      <c r="B3350" s="622"/>
      <c r="C3350" s="622"/>
      <c r="D3350" s="622"/>
      <c r="E3350" s="622"/>
      <c r="F3350" s="622"/>
      <c r="G3350" s="622"/>
      <c r="H3350" s="622"/>
    </row>
    <row r="3351" spans="1:8" ht="15.75">
      <c r="A3351" s="622"/>
      <c r="B3351" s="622"/>
      <c r="C3351" s="622"/>
      <c r="D3351" s="622"/>
      <c r="E3351" s="622"/>
      <c r="F3351" s="622"/>
      <c r="G3351" s="622"/>
      <c r="H3351" s="622"/>
    </row>
    <row r="3355" ht="15.75">
      <c r="H3355" s="11" t="s">
        <v>609</v>
      </c>
    </row>
    <row r="3356" ht="15.75">
      <c r="H3356" s="11" t="s">
        <v>610</v>
      </c>
    </row>
    <row r="3357" ht="15.75">
      <c r="H3357" s="11" t="s">
        <v>611</v>
      </c>
    </row>
    <row r="3358" ht="15.75">
      <c r="H3358" s="11"/>
    </row>
    <row r="3359" spans="1:8" ht="12.75" customHeight="1">
      <c r="A3359" s="713" t="s">
        <v>612</v>
      </c>
      <c r="B3359" s="713"/>
      <c r="C3359" s="713"/>
      <c r="D3359" s="713"/>
      <c r="E3359" s="713"/>
      <c r="F3359" s="713"/>
      <c r="G3359" s="713"/>
      <c r="H3359" s="713"/>
    </row>
    <row r="3360" spans="1:8" ht="12.75" customHeight="1">
      <c r="A3360" s="713" t="s">
        <v>613</v>
      </c>
      <c r="B3360" s="713"/>
      <c r="C3360" s="713"/>
      <c r="D3360" s="713"/>
      <c r="E3360" s="713"/>
      <c r="F3360" s="713"/>
      <c r="G3360" s="713"/>
      <c r="H3360" s="713"/>
    </row>
    <row r="3361" ht="15.75">
      <c r="H3361" s="11" t="s">
        <v>43</v>
      </c>
    </row>
    <row r="3362" ht="15.75">
      <c r="H3362" s="11" t="s">
        <v>44</v>
      </c>
    </row>
    <row r="3363" ht="15.75">
      <c r="H3363" s="11" t="s">
        <v>45</v>
      </c>
    </row>
    <row r="3364" ht="15.75">
      <c r="H3364" s="594" t="s">
        <v>614</v>
      </c>
    </row>
    <row r="3365" ht="15.75">
      <c r="H3365" s="11" t="s">
        <v>615</v>
      </c>
    </row>
    <row r="3366" ht="15.75">
      <c r="H3366" s="11" t="s">
        <v>47</v>
      </c>
    </row>
    <row r="3367" ht="15.75">
      <c r="A3367" s="595"/>
    </row>
    <row r="3368" ht="15.75">
      <c r="A3368" s="3" t="s">
        <v>808</v>
      </c>
    </row>
    <row r="3369" spans="1:8" ht="12.75" customHeight="1">
      <c r="A3369" s="717" t="s">
        <v>0</v>
      </c>
      <c r="B3369" s="714"/>
      <c r="C3369" s="714"/>
      <c r="D3369" s="714"/>
      <c r="E3369" s="714"/>
      <c r="F3369" s="714"/>
      <c r="G3369" s="714"/>
      <c r="H3369" s="714"/>
    </row>
    <row r="3370" spans="1:8" ht="16.5" thickBot="1">
      <c r="A3370" s="597"/>
      <c r="B3370" s="597"/>
      <c r="C3370" s="598"/>
      <c r="D3370" s="598"/>
      <c r="E3370" s="598"/>
      <c r="F3370" s="598"/>
      <c r="G3370" s="598"/>
      <c r="H3370" s="598"/>
    </row>
    <row r="3371" spans="1:8" ht="12.75" customHeight="1">
      <c r="A3371" s="708" t="s">
        <v>617</v>
      </c>
      <c r="B3371" s="710" t="s">
        <v>618</v>
      </c>
      <c r="C3371" s="711" t="s">
        <v>619</v>
      </c>
      <c r="D3371" s="711"/>
      <c r="E3371" s="711"/>
      <c r="F3371" s="711"/>
      <c r="G3371" s="712" t="s">
        <v>620</v>
      </c>
      <c r="H3371" s="708" t="s">
        <v>621</v>
      </c>
    </row>
    <row r="3372" spans="1:8" ht="15.75">
      <c r="A3372" s="708"/>
      <c r="B3372" s="710"/>
      <c r="C3372" s="711"/>
      <c r="D3372" s="711"/>
      <c r="E3372" s="711"/>
      <c r="F3372" s="711"/>
      <c r="G3372" s="712"/>
      <c r="H3372" s="708"/>
    </row>
    <row r="3373" spans="1:8" ht="31.5">
      <c r="A3373" s="708"/>
      <c r="B3373" s="710"/>
      <c r="C3373" s="601" t="s">
        <v>622</v>
      </c>
      <c r="D3373" s="601" t="s">
        <v>623</v>
      </c>
      <c r="E3373" s="602" t="s">
        <v>622</v>
      </c>
      <c r="F3373" s="603" t="s">
        <v>623</v>
      </c>
      <c r="G3373" s="712"/>
      <c r="H3373" s="708"/>
    </row>
    <row r="3374" spans="1:8" ht="15.75">
      <c r="A3374" s="599">
        <v>1</v>
      </c>
      <c r="B3374" s="599">
        <v>2</v>
      </c>
      <c r="C3374" s="604">
        <v>3</v>
      </c>
      <c r="D3374" s="604">
        <v>4</v>
      </c>
      <c r="E3374" s="605"/>
      <c r="F3374" s="606"/>
      <c r="G3374" s="600">
        <v>5</v>
      </c>
      <c r="H3374" s="599">
        <v>6</v>
      </c>
    </row>
    <row r="3375" spans="1:8" ht="12.75" customHeight="1">
      <c r="A3375" s="607">
        <v>1</v>
      </c>
      <c r="B3375" s="709" t="s">
        <v>624</v>
      </c>
      <c r="C3375" s="709"/>
      <c r="D3375" s="709"/>
      <c r="E3375" s="709"/>
      <c r="F3375" s="709"/>
      <c r="G3375" s="709"/>
      <c r="H3375" s="709"/>
    </row>
    <row r="3376" spans="1:8" ht="15.75">
      <c r="A3376" s="608" t="s">
        <v>74</v>
      </c>
      <c r="B3376" s="609" t="s">
        <v>625</v>
      </c>
      <c r="C3376" s="610" t="s">
        <v>379</v>
      </c>
      <c r="D3376" s="610" t="s">
        <v>379</v>
      </c>
      <c r="E3376" s="610" t="s">
        <v>379</v>
      </c>
      <c r="F3376" s="610" t="s">
        <v>379</v>
      </c>
      <c r="G3376" s="610" t="s">
        <v>379</v>
      </c>
      <c r="H3376" s="611" t="s">
        <v>626</v>
      </c>
    </row>
    <row r="3377" spans="1:8" ht="15.75">
      <c r="A3377" s="608" t="s">
        <v>313</v>
      </c>
      <c r="B3377" s="609" t="s">
        <v>627</v>
      </c>
      <c r="C3377" s="610" t="s">
        <v>379</v>
      </c>
      <c r="D3377" s="610" t="s">
        <v>379</v>
      </c>
      <c r="E3377" s="610" t="s">
        <v>379</v>
      </c>
      <c r="F3377" s="610" t="s">
        <v>379</v>
      </c>
      <c r="G3377" s="610" t="s">
        <v>379</v>
      </c>
      <c r="H3377" s="611" t="s">
        <v>626</v>
      </c>
    </row>
    <row r="3378" spans="1:8" ht="31.5">
      <c r="A3378" s="608" t="s">
        <v>315</v>
      </c>
      <c r="B3378" s="612" t="s">
        <v>628</v>
      </c>
      <c r="C3378" s="610" t="s">
        <v>379</v>
      </c>
      <c r="D3378" s="610" t="s">
        <v>379</v>
      </c>
      <c r="E3378" s="610" t="s">
        <v>379</v>
      </c>
      <c r="F3378" s="610" t="s">
        <v>379</v>
      </c>
      <c r="G3378" s="610" t="s">
        <v>379</v>
      </c>
      <c r="H3378" s="611" t="s">
        <v>626</v>
      </c>
    </row>
    <row r="3379" spans="1:8" ht="47.25">
      <c r="A3379" s="608" t="s">
        <v>317</v>
      </c>
      <c r="B3379" s="612" t="s">
        <v>629</v>
      </c>
      <c r="C3379" s="610" t="s">
        <v>379</v>
      </c>
      <c r="D3379" s="610" t="s">
        <v>379</v>
      </c>
      <c r="E3379" s="610" t="s">
        <v>379</v>
      </c>
      <c r="F3379" s="610" t="s">
        <v>379</v>
      </c>
      <c r="G3379" s="610" t="s">
        <v>379</v>
      </c>
      <c r="H3379" s="611" t="s">
        <v>626</v>
      </c>
    </row>
    <row r="3380" spans="1:8" ht="15.75">
      <c r="A3380" s="608" t="s">
        <v>630</v>
      </c>
      <c r="B3380" s="613" t="s">
        <v>631</v>
      </c>
      <c r="C3380" s="610" t="s">
        <v>379</v>
      </c>
      <c r="D3380" s="610" t="s">
        <v>379</v>
      </c>
      <c r="E3380" s="610" t="s">
        <v>379</v>
      </c>
      <c r="F3380" s="610" t="s">
        <v>379</v>
      </c>
      <c r="G3380" s="610" t="s">
        <v>379</v>
      </c>
      <c r="H3380" s="611" t="s">
        <v>626</v>
      </c>
    </row>
    <row r="3381" spans="1:8" ht="15.75">
      <c r="A3381" s="608" t="s">
        <v>632</v>
      </c>
      <c r="B3381" s="613" t="s">
        <v>633</v>
      </c>
      <c r="C3381" s="610" t="s">
        <v>379</v>
      </c>
      <c r="D3381" s="610" t="s">
        <v>379</v>
      </c>
      <c r="E3381" s="610" t="s">
        <v>379</v>
      </c>
      <c r="F3381" s="610" t="s">
        <v>379</v>
      </c>
      <c r="G3381" s="610" t="s">
        <v>379</v>
      </c>
      <c r="H3381" s="611" t="s">
        <v>626</v>
      </c>
    </row>
    <row r="3382" spans="1:8" ht="12.75" customHeight="1">
      <c r="A3382" s="608">
        <v>2</v>
      </c>
      <c r="B3382" s="706" t="s">
        <v>634</v>
      </c>
      <c r="C3382" s="706"/>
      <c r="D3382" s="706"/>
      <c r="E3382" s="706"/>
      <c r="F3382" s="706"/>
      <c r="G3382" s="706"/>
      <c r="H3382" s="706"/>
    </row>
    <row r="3383" spans="1:8" ht="31.5">
      <c r="A3383" s="608" t="s">
        <v>321</v>
      </c>
      <c r="B3383" s="612" t="s">
        <v>635</v>
      </c>
      <c r="C3383" s="610" t="s">
        <v>636</v>
      </c>
      <c r="D3383" s="610" t="s">
        <v>744</v>
      </c>
      <c r="E3383" s="610" t="s">
        <v>379</v>
      </c>
      <c r="F3383" s="610" t="s">
        <v>379</v>
      </c>
      <c r="G3383" s="614">
        <v>0</v>
      </c>
      <c r="H3383" s="611"/>
    </row>
    <row r="3384" spans="1:8" ht="47.25">
      <c r="A3384" s="608" t="s">
        <v>325</v>
      </c>
      <c r="B3384" s="612" t="s">
        <v>638</v>
      </c>
      <c r="C3384" s="610" t="s">
        <v>379</v>
      </c>
      <c r="D3384" s="610" t="s">
        <v>379</v>
      </c>
      <c r="E3384" s="610" t="s">
        <v>379</v>
      </c>
      <c r="F3384" s="610" t="s">
        <v>379</v>
      </c>
      <c r="G3384" s="610" t="s">
        <v>379</v>
      </c>
      <c r="H3384" s="611" t="s">
        <v>626</v>
      </c>
    </row>
    <row r="3385" spans="1:8" ht="31.5">
      <c r="A3385" s="608" t="s">
        <v>639</v>
      </c>
      <c r="B3385" s="612" t="s">
        <v>640</v>
      </c>
      <c r="C3385" s="610" t="s">
        <v>379</v>
      </c>
      <c r="D3385" s="610" t="s">
        <v>379</v>
      </c>
      <c r="E3385" s="610" t="s">
        <v>379</v>
      </c>
      <c r="F3385" s="610" t="s">
        <v>379</v>
      </c>
      <c r="G3385" s="610" t="s">
        <v>379</v>
      </c>
      <c r="H3385" s="611" t="s">
        <v>626</v>
      </c>
    </row>
    <row r="3386" spans="1:8" ht="12.75" customHeight="1">
      <c r="A3386" s="608">
        <v>3</v>
      </c>
      <c r="B3386" s="706" t="s">
        <v>641</v>
      </c>
      <c r="C3386" s="706"/>
      <c r="D3386" s="706"/>
      <c r="E3386" s="706"/>
      <c r="F3386" s="706"/>
      <c r="G3386" s="706"/>
      <c r="H3386" s="706"/>
    </row>
    <row r="3387" spans="1:8" ht="31.5">
      <c r="A3387" s="608" t="s">
        <v>378</v>
      </c>
      <c r="B3387" s="613" t="s">
        <v>642</v>
      </c>
      <c r="C3387" s="610" t="s">
        <v>379</v>
      </c>
      <c r="D3387" s="610" t="s">
        <v>379</v>
      </c>
      <c r="E3387" s="610" t="s">
        <v>379</v>
      </c>
      <c r="F3387" s="610" t="s">
        <v>379</v>
      </c>
      <c r="G3387" s="610" t="s">
        <v>379</v>
      </c>
      <c r="H3387" s="611" t="s">
        <v>626</v>
      </c>
    </row>
    <row r="3388" spans="1:8" ht="15.75">
      <c r="A3388" s="608" t="s">
        <v>643</v>
      </c>
      <c r="B3388" s="613" t="s">
        <v>644</v>
      </c>
      <c r="C3388" s="610" t="s">
        <v>636</v>
      </c>
      <c r="D3388" s="610" t="s">
        <v>667</v>
      </c>
      <c r="E3388" s="610" t="s">
        <v>379</v>
      </c>
      <c r="F3388" s="610" t="s">
        <v>379</v>
      </c>
      <c r="G3388" s="614">
        <v>0</v>
      </c>
      <c r="H3388" s="611"/>
    </row>
    <row r="3389" spans="1:8" ht="15.75">
      <c r="A3389" s="608" t="s">
        <v>380</v>
      </c>
      <c r="B3389" s="613" t="s">
        <v>646</v>
      </c>
      <c r="C3389" s="610" t="s">
        <v>636</v>
      </c>
      <c r="D3389" s="610" t="s">
        <v>745</v>
      </c>
      <c r="E3389" s="610" t="s">
        <v>379</v>
      </c>
      <c r="F3389" s="610" t="s">
        <v>379</v>
      </c>
      <c r="G3389" s="614">
        <v>0</v>
      </c>
      <c r="H3389" s="611"/>
    </row>
    <row r="3390" spans="1:8" ht="15.75">
      <c r="A3390" s="608" t="s">
        <v>649</v>
      </c>
      <c r="B3390" s="613" t="s">
        <v>650</v>
      </c>
      <c r="C3390" s="610" t="s">
        <v>647</v>
      </c>
      <c r="D3390" s="610" t="s">
        <v>805</v>
      </c>
      <c r="E3390" s="610" t="s">
        <v>379</v>
      </c>
      <c r="F3390" s="610" t="s">
        <v>379</v>
      </c>
      <c r="G3390" s="614">
        <v>0</v>
      </c>
      <c r="H3390" s="611"/>
    </row>
    <row r="3391" spans="1:8" ht="15.75">
      <c r="A3391" s="608" t="s">
        <v>653</v>
      </c>
      <c r="B3391" s="613" t="s">
        <v>654</v>
      </c>
      <c r="C3391" s="610" t="s">
        <v>806</v>
      </c>
      <c r="D3391" s="610" t="s">
        <v>744</v>
      </c>
      <c r="E3391" s="610" t="s">
        <v>379</v>
      </c>
      <c r="F3391" s="610" t="s">
        <v>379</v>
      </c>
      <c r="G3391" s="614">
        <v>0</v>
      </c>
      <c r="H3391" s="611"/>
    </row>
    <row r="3392" spans="1:8" ht="12.75" customHeight="1">
      <c r="A3392" s="608">
        <v>4</v>
      </c>
      <c r="B3392" s="706" t="s">
        <v>656</v>
      </c>
      <c r="C3392" s="706"/>
      <c r="D3392" s="706"/>
      <c r="E3392" s="706"/>
      <c r="F3392" s="706"/>
      <c r="G3392" s="706"/>
      <c r="H3392" s="706"/>
    </row>
    <row r="3393" spans="1:8" ht="31.5">
      <c r="A3393" s="608" t="s">
        <v>657</v>
      </c>
      <c r="B3393" s="612" t="s">
        <v>658</v>
      </c>
      <c r="C3393" s="610" t="s">
        <v>379</v>
      </c>
      <c r="D3393" s="610" t="s">
        <v>379</v>
      </c>
      <c r="E3393" s="610" t="s">
        <v>379</v>
      </c>
      <c r="F3393" s="610" t="s">
        <v>379</v>
      </c>
      <c r="G3393" s="610" t="s">
        <v>379</v>
      </c>
      <c r="H3393" s="611" t="s">
        <v>626</v>
      </c>
    </row>
    <row r="3394" spans="1:8" ht="47.25">
      <c r="A3394" s="608" t="s">
        <v>659</v>
      </c>
      <c r="B3394" s="612" t="s">
        <v>660</v>
      </c>
      <c r="C3394" s="610" t="s">
        <v>379</v>
      </c>
      <c r="D3394" s="610" t="s">
        <v>379</v>
      </c>
      <c r="E3394" s="610" t="s">
        <v>379</v>
      </c>
      <c r="F3394" s="610" t="s">
        <v>379</v>
      </c>
      <c r="G3394" s="610" t="s">
        <v>379</v>
      </c>
      <c r="H3394" s="611" t="s">
        <v>626</v>
      </c>
    </row>
    <row r="3395" spans="1:8" ht="31.5">
      <c r="A3395" s="608" t="s">
        <v>661</v>
      </c>
      <c r="B3395" s="613" t="s">
        <v>662</v>
      </c>
      <c r="C3395" s="610" t="s">
        <v>379</v>
      </c>
      <c r="D3395" s="610" t="s">
        <v>379</v>
      </c>
      <c r="E3395" s="610" t="s">
        <v>379</v>
      </c>
      <c r="F3395" s="610" t="s">
        <v>379</v>
      </c>
      <c r="G3395" s="610" t="s">
        <v>379</v>
      </c>
      <c r="H3395" s="611" t="s">
        <v>626</v>
      </c>
    </row>
    <row r="3396" spans="1:8" ht="31.5">
      <c r="A3396" s="615" t="s">
        <v>663</v>
      </c>
      <c r="B3396" s="616" t="s">
        <v>664</v>
      </c>
      <c r="C3396" s="617" t="s">
        <v>379</v>
      </c>
      <c r="D3396" s="617" t="s">
        <v>379</v>
      </c>
      <c r="E3396" s="617" t="s">
        <v>379</v>
      </c>
      <c r="F3396" s="617" t="s">
        <v>379</v>
      </c>
      <c r="G3396" s="617" t="s">
        <v>379</v>
      </c>
      <c r="H3396" s="618" t="s">
        <v>626</v>
      </c>
    </row>
    <row r="3397" spans="1:8" ht="15.75">
      <c r="A3397" s="619"/>
      <c r="B3397" s="620"/>
      <c r="C3397" s="621"/>
      <c r="D3397" s="621"/>
      <c r="E3397" s="621"/>
      <c r="F3397" s="621"/>
      <c r="G3397" s="621"/>
      <c r="H3397" s="148"/>
    </row>
    <row r="3398" spans="1:8" ht="12.75" customHeight="1">
      <c r="A3398" s="707" t="s">
        <v>665</v>
      </c>
      <c r="B3398" s="707"/>
      <c r="C3398" s="707"/>
      <c r="D3398" s="707"/>
      <c r="E3398" s="707"/>
      <c r="F3398" s="707"/>
      <c r="G3398" s="707"/>
      <c r="H3398" s="707"/>
    </row>
    <row r="3399" spans="1:8" ht="15.75">
      <c r="A3399" s="622"/>
      <c r="B3399" s="622"/>
      <c r="C3399" s="622"/>
      <c r="D3399" s="622"/>
      <c r="E3399" s="622"/>
      <c r="F3399" s="622"/>
      <c r="G3399" s="622"/>
      <c r="H3399" s="622"/>
    </row>
    <row r="3400" spans="1:8" ht="15.75">
      <c r="A3400" s="622"/>
      <c r="B3400" s="622"/>
      <c r="C3400" s="622"/>
      <c r="D3400" s="622"/>
      <c r="E3400" s="622"/>
      <c r="F3400" s="622"/>
      <c r="G3400" s="622"/>
      <c r="H3400" s="622"/>
    </row>
    <row r="3402" ht="15.75">
      <c r="H3402" s="11" t="s">
        <v>609</v>
      </c>
    </row>
    <row r="3403" ht="15.75">
      <c r="H3403" s="11" t="s">
        <v>610</v>
      </c>
    </row>
    <row r="3404" ht="15.75">
      <c r="H3404" s="11" t="s">
        <v>611</v>
      </c>
    </row>
    <row r="3405" ht="15.75">
      <c r="H3405" s="11"/>
    </row>
    <row r="3406" spans="1:8" ht="12.75" customHeight="1">
      <c r="A3406" s="713" t="s">
        <v>612</v>
      </c>
      <c r="B3406" s="713"/>
      <c r="C3406" s="713"/>
      <c r="D3406" s="713"/>
      <c r="E3406" s="713"/>
      <c r="F3406" s="713"/>
      <c r="G3406" s="713"/>
      <c r="H3406" s="713"/>
    </row>
    <row r="3407" spans="1:8" ht="12.75" customHeight="1">
      <c r="A3407" s="713" t="s">
        <v>613</v>
      </c>
      <c r="B3407" s="713"/>
      <c r="C3407" s="713"/>
      <c r="D3407" s="713"/>
      <c r="E3407" s="713"/>
      <c r="F3407" s="713"/>
      <c r="G3407" s="713"/>
      <c r="H3407" s="713"/>
    </row>
    <row r="3408" ht="15.75">
      <c r="H3408" s="11" t="s">
        <v>43</v>
      </c>
    </row>
    <row r="3409" ht="15.75">
      <c r="H3409" s="11" t="s">
        <v>44</v>
      </c>
    </row>
    <row r="3410" ht="15.75">
      <c r="H3410" s="11" t="s">
        <v>45</v>
      </c>
    </row>
    <row r="3411" ht="15.75">
      <c r="H3411" s="594" t="s">
        <v>614</v>
      </c>
    </row>
    <row r="3412" ht="15.75">
      <c r="H3412" s="11" t="s">
        <v>615</v>
      </c>
    </row>
    <row r="3413" ht="15.75">
      <c r="H3413" s="11" t="s">
        <v>47</v>
      </c>
    </row>
    <row r="3414" ht="15.75">
      <c r="A3414" s="595"/>
    </row>
    <row r="3415" ht="15.75">
      <c r="A3415" s="3" t="s">
        <v>809</v>
      </c>
    </row>
    <row r="3416" spans="1:8" ht="12.75" customHeight="1">
      <c r="A3416" s="717" t="s">
        <v>0</v>
      </c>
      <c r="B3416" s="714"/>
      <c r="C3416" s="714"/>
      <c r="D3416" s="714"/>
      <c r="E3416" s="714"/>
      <c r="F3416" s="714"/>
      <c r="G3416" s="714"/>
      <c r="H3416" s="714"/>
    </row>
    <row r="3417" spans="1:8" ht="16.5" thickBot="1">
      <c r="A3417" s="597"/>
      <c r="B3417" s="597"/>
      <c r="C3417" s="598"/>
      <c r="D3417" s="598"/>
      <c r="E3417" s="598"/>
      <c r="F3417" s="598"/>
      <c r="G3417" s="598"/>
      <c r="H3417" s="598"/>
    </row>
    <row r="3418" spans="1:8" ht="12.75" customHeight="1">
      <c r="A3418" s="708" t="s">
        <v>617</v>
      </c>
      <c r="B3418" s="710" t="s">
        <v>618</v>
      </c>
      <c r="C3418" s="711" t="s">
        <v>619</v>
      </c>
      <c r="D3418" s="711"/>
      <c r="E3418" s="711"/>
      <c r="F3418" s="711"/>
      <c r="G3418" s="712" t="s">
        <v>620</v>
      </c>
      <c r="H3418" s="708" t="s">
        <v>621</v>
      </c>
    </row>
    <row r="3419" spans="1:8" ht="15.75">
      <c r="A3419" s="708"/>
      <c r="B3419" s="710"/>
      <c r="C3419" s="711"/>
      <c r="D3419" s="711"/>
      <c r="E3419" s="711"/>
      <c r="F3419" s="711"/>
      <c r="G3419" s="712"/>
      <c r="H3419" s="708"/>
    </row>
    <row r="3420" spans="1:8" ht="31.5">
      <c r="A3420" s="708"/>
      <c r="B3420" s="710"/>
      <c r="C3420" s="601" t="s">
        <v>622</v>
      </c>
      <c r="D3420" s="601" t="s">
        <v>623</v>
      </c>
      <c r="E3420" s="602" t="s">
        <v>622</v>
      </c>
      <c r="F3420" s="603" t="s">
        <v>623</v>
      </c>
      <c r="G3420" s="712"/>
      <c r="H3420" s="708"/>
    </row>
    <row r="3421" spans="1:8" ht="15.75">
      <c r="A3421" s="599">
        <v>1</v>
      </c>
      <c r="B3421" s="599">
        <v>2</v>
      </c>
      <c r="C3421" s="604">
        <v>3</v>
      </c>
      <c r="D3421" s="604">
        <v>4</v>
      </c>
      <c r="E3421" s="605"/>
      <c r="F3421" s="606"/>
      <c r="G3421" s="600">
        <v>5</v>
      </c>
      <c r="H3421" s="599">
        <v>6</v>
      </c>
    </row>
    <row r="3422" spans="1:8" ht="12.75" customHeight="1">
      <c r="A3422" s="607">
        <v>1</v>
      </c>
      <c r="B3422" s="709" t="s">
        <v>624</v>
      </c>
      <c r="C3422" s="709"/>
      <c r="D3422" s="709"/>
      <c r="E3422" s="709"/>
      <c r="F3422" s="709"/>
      <c r="G3422" s="709"/>
      <c r="H3422" s="709"/>
    </row>
    <row r="3423" spans="1:8" ht="15.75">
      <c r="A3423" s="608" t="s">
        <v>74</v>
      </c>
      <c r="B3423" s="609" t="s">
        <v>625</v>
      </c>
      <c r="C3423" s="610" t="s">
        <v>379</v>
      </c>
      <c r="D3423" s="610" t="s">
        <v>379</v>
      </c>
      <c r="E3423" s="610" t="s">
        <v>379</v>
      </c>
      <c r="F3423" s="610" t="s">
        <v>379</v>
      </c>
      <c r="G3423" s="610" t="s">
        <v>379</v>
      </c>
      <c r="H3423" s="611" t="s">
        <v>626</v>
      </c>
    </row>
    <row r="3424" spans="1:8" ht="15.75">
      <c r="A3424" s="608" t="s">
        <v>313</v>
      </c>
      <c r="B3424" s="609" t="s">
        <v>627</v>
      </c>
      <c r="C3424" s="610" t="s">
        <v>379</v>
      </c>
      <c r="D3424" s="610" t="s">
        <v>379</v>
      </c>
      <c r="E3424" s="610" t="s">
        <v>379</v>
      </c>
      <c r="F3424" s="610" t="s">
        <v>379</v>
      </c>
      <c r="G3424" s="610" t="s">
        <v>379</v>
      </c>
      <c r="H3424" s="611" t="s">
        <v>626</v>
      </c>
    </row>
    <row r="3425" spans="1:8" ht="31.5">
      <c r="A3425" s="608" t="s">
        <v>315</v>
      </c>
      <c r="B3425" s="612" t="s">
        <v>628</v>
      </c>
      <c r="C3425" s="610" t="s">
        <v>379</v>
      </c>
      <c r="D3425" s="610" t="s">
        <v>379</v>
      </c>
      <c r="E3425" s="610" t="s">
        <v>379</v>
      </c>
      <c r="F3425" s="610" t="s">
        <v>379</v>
      </c>
      <c r="G3425" s="610" t="s">
        <v>379</v>
      </c>
      <c r="H3425" s="611" t="s">
        <v>626</v>
      </c>
    </row>
    <row r="3426" spans="1:8" ht="47.25">
      <c r="A3426" s="608" t="s">
        <v>317</v>
      </c>
      <c r="B3426" s="612" t="s">
        <v>629</v>
      </c>
      <c r="C3426" s="610" t="s">
        <v>379</v>
      </c>
      <c r="D3426" s="610" t="s">
        <v>379</v>
      </c>
      <c r="E3426" s="610" t="s">
        <v>379</v>
      </c>
      <c r="F3426" s="610" t="s">
        <v>379</v>
      </c>
      <c r="G3426" s="610" t="s">
        <v>379</v>
      </c>
      <c r="H3426" s="611" t="s">
        <v>626</v>
      </c>
    </row>
    <row r="3427" spans="1:8" ht="15.75">
      <c r="A3427" s="608" t="s">
        <v>630</v>
      </c>
      <c r="B3427" s="613" t="s">
        <v>631</v>
      </c>
      <c r="C3427" s="610" t="s">
        <v>379</v>
      </c>
      <c r="D3427" s="610" t="s">
        <v>379</v>
      </c>
      <c r="E3427" s="610" t="s">
        <v>379</v>
      </c>
      <c r="F3427" s="610" t="s">
        <v>379</v>
      </c>
      <c r="G3427" s="610" t="s">
        <v>379</v>
      </c>
      <c r="H3427" s="611" t="s">
        <v>626</v>
      </c>
    </row>
    <row r="3428" spans="1:8" ht="15.75">
      <c r="A3428" s="608" t="s">
        <v>632</v>
      </c>
      <c r="B3428" s="613" t="s">
        <v>633</v>
      </c>
      <c r="C3428" s="610" t="s">
        <v>379</v>
      </c>
      <c r="D3428" s="610" t="s">
        <v>379</v>
      </c>
      <c r="E3428" s="610" t="s">
        <v>379</v>
      </c>
      <c r="F3428" s="610" t="s">
        <v>379</v>
      </c>
      <c r="G3428" s="610" t="s">
        <v>379</v>
      </c>
      <c r="H3428" s="611" t="s">
        <v>626</v>
      </c>
    </row>
    <row r="3429" spans="1:8" ht="12.75" customHeight="1">
      <c r="A3429" s="608">
        <v>2</v>
      </c>
      <c r="B3429" s="706" t="s">
        <v>634</v>
      </c>
      <c r="C3429" s="706"/>
      <c r="D3429" s="706"/>
      <c r="E3429" s="706"/>
      <c r="F3429" s="706"/>
      <c r="G3429" s="706"/>
      <c r="H3429" s="706"/>
    </row>
    <row r="3430" spans="1:8" ht="31.5">
      <c r="A3430" s="608" t="s">
        <v>321</v>
      </c>
      <c r="B3430" s="612" t="s">
        <v>635</v>
      </c>
      <c r="C3430" s="610" t="s">
        <v>710</v>
      </c>
      <c r="D3430" s="610" t="s">
        <v>755</v>
      </c>
      <c r="E3430" s="610" t="s">
        <v>379</v>
      </c>
      <c r="F3430" s="610" t="s">
        <v>379</v>
      </c>
      <c r="G3430" s="614">
        <v>0</v>
      </c>
      <c r="H3430" s="611"/>
    </row>
    <row r="3431" spans="1:8" ht="47.25">
      <c r="A3431" s="608" t="s">
        <v>325</v>
      </c>
      <c r="B3431" s="612" t="s">
        <v>638</v>
      </c>
      <c r="C3431" s="610" t="s">
        <v>379</v>
      </c>
      <c r="D3431" s="610" t="s">
        <v>379</v>
      </c>
      <c r="E3431" s="610" t="s">
        <v>379</v>
      </c>
      <c r="F3431" s="610" t="s">
        <v>379</v>
      </c>
      <c r="G3431" s="610" t="s">
        <v>379</v>
      </c>
      <c r="H3431" s="611" t="s">
        <v>626</v>
      </c>
    </row>
    <row r="3432" spans="1:8" ht="31.5">
      <c r="A3432" s="608" t="s">
        <v>639</v>
      </c>
      <c r="B3432" s="612" t="s">
        <v>640</v>
      </c>
      <c r="C3432" s="610" t="s">
        <v>379</v>
      </c>
      <c r="D3432" s="610" t="s">
        <v>379</v>
      </c>
      <c r="E3432" s="610" t="s">
        <v>379</v>
      </c>
      <c r="F3432" s="610" t="s">
        <v>379</v>
      </c>
      <c r="G3432" s="610" t="s">
        <v>379</v>
      </c>
      <c r="H3432" s="611" t="s">
        <v>626</v>
      </c>
    </row>
    <row r="3433" spans="1:8" ht="12.75" customHeight="1">
      <c r="A3433" s="608">
        <v>3</v>
      </c>
      <c r="B3433" s="706" t="s">
        <v>641</v>
      </c>
      <c r="C3433" s="706"/>
      <c r="D3433" s="706"/>
      <c r="E3433" s="706"/>
      <c r="F3433" s="706"/>
      <c r="G3433" s="706"/>
      <c r="H3433" s="706"/>
    </row>
    <row r="3434" spans="1:8" ht="31.5">
      <c r="A3434" s="608" t="s">
        <v>378</v>
      </c>
      <c r="B3434" s="613" t="s">
        <v>642</v>
      </c>
      <c r="C3434" s="610" t="s">
        <v>379</v>
      </c>
      <c r="D3434" s="610" t="s">
        <v>379</v>
      </c>
      <c r="E3434" s="610" t="s">
        <v>379</v>
      </c>
      <c r="F3434" s="610" t="s">
        <v>379</v>
      </c>
      <c r="G3434" s="610" t="s">
        <v>379</v>
      </c>
      <c r="H3434" s="611" t="s">
        <v>626</v>
      </c>
    </row>
    <row r="3435" spans="1:8" ht="15.75">
      <c r="A3435" s="608" t="s">
        <v>643</v>
      </c>
      <c r="B3435" s="613" t="s">
        <v>644</v>
      </c>
      <c r="C3435" s="610" t="s">
        <v>710</v>
      </c>
      <c r="D3435" s="610" t="s">
        <v>810</v>
      </c>
      <c r="E3435" s="610" t="s">
        <v>379</v>
      </c>
      <c r="F3435" s="610" t="s">
        <v>379</v>
      </c>
      <c r="G3435" s="614">
        <v>0</v>
      </c>
      <c r="H3435" s="611"/>
    </row>
    <row r="3436" spans="1:8" ht="15.75">
      <c r="A3436" s="608" t="s">
        <v>380</v>
      </c>
      <c r="B3436" s="613" t="s">
        <v>646</v>
      </c>
      <c r="C3436" s="610" t="s">
        <v>713</v>
      </c>
      <c r="D3436" s="610" t="s">
        <v>757</v>
      </c>
      <c r="E3436" s="610" t="s">
        <v>379</v>
      </c>
      <c r="F3436" s="610" t="s">
        <v>379</v>
      </c>
      <c r="G3436" s="614">
        <v>0</v>
      </c>
      <c r="H3436" s="611"/>
    </row>
    <row r="3437" spans="1:8" ht="15.75">
      <c r="A3437" s="608" t="s">
        <v>649</v>
      </c>
      <c r="B3437" s="613" t="s">
        <v>650</v>
      </c>
      <c r="C3437" s="610" t="s">
        <v>715</v>
      </c>
      <c r="D3437" s="610" t="s">
        <v>811</v>
      </c>
      <c r="E3437" s="610" t="s">
        <v>379</v>
      </c>
      <c r="F3437" s="610" t="s">
        <v>379</v>
      </c>
      <c r="G3437" s="614">
        <v>0</v>
      </c>
      <c r="H3437" s="611"/>
    </row>
    <row r="3438" spans="1:8" ht="15.75">
      <c r="A3438" s="608" t="s">
        <v>653</v>
      </c>
      <c r="B3438" s="613" t="s">
        <v>654</v>
      </c>
      <c r="C3438" s="610" t="s">
        <v>759</v>
      </c>
      <c r="D3438" s="610" t="s">
        <v>755</v>
      </c>
      <c r="E3438" s="610" t="s">
        <v>379</v>
      </c>
      <c r="F3438" s="610" t="s">
        <v>379</v>
      </c>
      <c r="G3438" s="614">
        <v>0</v>
      </c>
      <c r="H3438" s="611"/>
    </row>
    <row r="3439" spans="1:8" ht="12.75" customHeight="1">
      <c r="A3439" s="608">
        <v>4</v>
      </c>
      <c r="B3439" s="706" t="s">
        <v>656</v>
      </c>
      <c r="C3439" s="706"/>
      <c r="D3439" s="706"/>
      <c r="E3439" s="706"/>
      <c r="F3439" s="706"/>
      <c r="G3439" s="706"/>
      <c r="H3439" s="706"/>
    </row>
    <row r="3440" spans="1:8" ht="31.5">
      <c r="A3440" s="608" t="s">
        <v>657</v>
      </c>
      <c r="B3440" s="612" t="s">
        <v>658</v>
      </c>
      <c r="C3440" s="610" t="s">
        <v>379</v>
      </c>
      <c r="D3440" s="610" t="s">
        <v>379</v>
      </c>
      <c r="E3440" s="610" t="s">
        <v>379</v>
      </c>
      <c r="F3440" s="610" t="s">
        <v>379</v>
      </c>
      <c r="G3440" s="610" t="s">
        <v>379</v>
      </c>
      <c r="H3440" s="611" t="s">
        <v>626</v>
      </c>
    </row>
    <row r="3441" spans="1:8" ht="47.25">
      <c r="A3441" s="608" t="s">
        <v>659</v>
      </c>
      <c r="B3441" s="612" t="s">
        <v>660</v>
      </c>
      <c r="C3441" s="610" t="s">
        <v>379</v>
      </c>
      <c r="D3441" s="610" t="s">
        <v>379</v>
      </c>
      <c r="E3441" s="610" t="s">
        <v>379</v>
      </c>
      <c r="F3441" s="610" t="s">
        <v>379</v>
      </c>
      <c r="G3441" s="610" t="s">
        <v>379</v>
      </c>
      <c r="H3441" s="611" t="s">
        <v>626</v>
      </c>
    </row>
    <row r="3442" spans="1:8" ht="31.5">
      <c r="A3442" s="608" t="s">
        <v>661</v>
      </c>
      <c r="B3442" s="613" t="s">
        <v>662</v>
      </c>
      <c r="C3442" s="610" t="s">
        <v>379</v>
      </c>
      <c r="D3442" s="610" t="s">
        <v>379</v>
      </c>
      <c r="E3442" s="610" t="s">
        <v>379</v>
      </c>
      <c r="F3442" s="610" t="s">
        <v>379</v>
      </c>
      <c r="G3442" s="610" t="s">
        <v>379</v>
      </c>
      <c r="H3442" s="611" t="s">
        <v>626</v>
      </c>
    </row>
    <row r="3443" spans="1:8" ht="31.5">
      <c r="A3443" s="615" t="s">
        <v>663</v>
      </c>
      <c r="B3443" s="616" t="s">
        <v>664</v>
      </c>
      <c r="C3443" s="617" t="s">
        <v>379</v>
      </c>
      <c r="D3443" s="617" t="s">
        <v>379</v>
      </c>
      <c r="E3443" s="617" t="s">
        <v>379</v>
      </c>
      <c r="F3443" s="617" t="s">
        <v>379</v>
      </c>
      <c r="G3443" s="617" t="s">
        <v>379</v>
      </c>
      <c r="H3443" s="618" t="s">
        <v>626</v>
      </c>
    </row>
    <row r="3444" spans="1:8" ht="15.75">
      <c r="A3444" s="619"/>
      <c r="B3444" s="620"/>
      <c r="C3444" s="621"/>
      <c r="D3444" s="621"/>
      <c r="E3444" s="621"/>
      <c r="F3444" s="621"/>
      <c r="G3444" s="621"/>
      <c r="H3444" s="148"/>
    </row>
    <row r="3445" spans="1:8" ht="12.75" customHeight="1">
      <c r="A3445" s="707" t="s">
        <v>665</v>
      </c>
      <c r="B3445" s="707"/>
      <c r="C3445" s="707"/>
      <c r="D3445" s="707"/>
      <c r="E3445" s="707"/>
      <c r="F3445" s="707"/>
      <c r="G3445" s="707"/>
      <c r="H3445" s="707"/>
    </row>
    <row r="3446" spans="1:8" ht="15.75">
      <c r="A3446" s="622"/>
      <c r="B3446" s="622"/>
      <c r="C3446" s="622"/>
      <c r="D3446" s="622"/>
      <c r="E3446" s="622"/>
      <c r="F3446" s="622"/>
      <c r="G3446" s="622"/>
      <c r="H3446" s="622"/>
    </row>
    <row r="3451" ht="15.75">
      <c r="H3451" s="11" t="s">
        <v>609</v>
      </c>
    </row>
    <row r="3452" ht="15.75">
      <c r="H3452" s="11" t="s">
        <v>610</v>
      </c>
    </row>
    <row r="3453" ht="15.75">
      <c r="H3453" s="11" t="s">
        <v>611</v>
      </c>
    </row>
    <row r="3454" ht="15.75">
      <c r="H3454" s="11"/>
    </row>
    <row r="3455" spans="1:8" ht="12.75" customHeight="1">
      <c r="A3455" s="713" t="s">
        <v>612</v>
      </c>
      <c r="B3455" s="713"/>
      <c r="C3455" s="713"/>
      <c r="D3455" s="713"/>
      <c r="E3455" s="713"/>
      <c r="F3455" s="713"/>
      <c r="G3455" s="713"/>
      <c r="H3455" s="713"/>
    </row>
    <row r="3456" spans="1:8" ht="12.75" customHeight="1">
      <c r="A3456" s="713" t="s">
        <v>613</v>
      </c>
      <c r="B3456" s="713"/>
      <c r="C3456" s="713"/>
      <c r="D3456" s="713"/>
      <c r="E3456" s="713"/>
      <c r="F3456" s="713"/>
      <c r="G3456" s="713"/>
      <c r="H3456" s="713"/>
    </row>
    <row r="3457" ht="15.75">
      <c r="H3457" s="11" t="s">
        <v>43</v>
      </c>
    </row>
    <row r="3458" ht="15.75">
      <c r="H3458" s="11" t="s">
        <v>44</v>
      </c>
    </row>
    <row r="3459" ht="15.75">
      <c r="H3459" s="11" t="s">
        <v>45</v>
      </c>
    </row>
    <row r="3460" ht="15.75">
      <c r="H3460" s="594" t="s">
        <v>614</v>
      </c>
    </row>
    <row r="3461" ht="15.75">
      <c r="H3461" s="11" t="s">
        <v>615</v>
      </c>
    </row>
    <row r="3462" ht="15.75">
      <c r="H3462" s="11" t="s">
        <v>47</v>
      </c>
    </row>
    <row r="3463" ht="15.75">
      <c r="A3463" s="595"/>
    </row>
    <row r="3464" ht="15.75">
      <c r="A3464" s="3" t="s">
        <v>812</v>
      </c>
    </row>
    <row r="3465" spans="1:8" ht="12.75" customHeight="1">
      <c r="A3465" s="717" t="s">
        <v>0</v>
      </c>
      <c r="B3465" s="714"/>
      <c r="C3465" s="714"/>
      <c r="D3465" s="714"/>
      <c r="E3465" s="714"/>
      <c r="F3465" s="714"/>
      <c r="G3465" s="714"/>
      <c r="H3465" s="714"/>
    </row>
    <row r="3466" spans="1:8" ht="16.5" thickBot="1">
      <c r="A3466" s="597"/>
      <c r="B3466" s="597"/>
      <c r="C3466" s="598"/>
      <c r="D3466" s="598"/>
      <c r="E3466" s="598"/>
      <c r="F3466" s="598"/>
      <c r="G3466" s="598"/>
      <c r="H3466" s="598"/>
    </row>
    <row r="3467" spans="1:8" ht="12.75" customHeight="1">
      <c r="A3467" s="708" t="s">
        <v>617</v>
      </c>
      <c r="B3467" s="710" t="s">
        <v>618</v>
      </c>
      <c r="C3467" s="711" t="s">
        <v>619</v>
      </c>
      <c r="D3467" s="711"/>
      <c r="E3467" s="711"/>
      <c r="F3467" s="711"/>
      <c r="G3467" s="712" t="s">
        <v>620</v>
      </c>
      <c r="H3467" s="708" t="s">
        <v>621</v>
      </c>
    </row>
    <row r="3468" spans="1:8" ht="15.75">
      <c r="A3468" s="708"/>
      <c r="B3468" s="710"/>
      <c r="C3468" s="711"/>
      <c r="D3468" s="711"/>
      <c r="E3468" s="711"/>
      <c r="F3468" s="711"/>
      <c r="G3468" s="712"/>
      <c r="H3468" s="708"/>
    </row>
    <row r="3469" spans="1:8" ht="31.5">
      <c r="A3469" s="708"/>
      <c r="B3469" s="710"/>
      <c r="C3469" s="601" t="s">
        <v>622</v>
      </c>
      <c r="D3469" s="601" t="s">
        <v>623</v>
      </c>
      <c r="E3469" s="602" t="s">
        <v>622</v>
      </c>
      <c r="F3469" s="603" t="s">
        <v>623</v>
      </c>
      <c r="G3469" s="712"/>
      <c r="H3469" s="708"/>
    </row>
    <row r="3470" spans="1:8" ht="15.75">
      <c r="A3470" s="599">
        <v>1</v>
      </c>
      <c r="B3470" s="599">
        <v>2</v>
      </c>
      <c r="C3470" s="604">
        <v>3</v>
      </c>
      <c r="D3470" s="604">
        <v>4</v>
      </c>
      <c r="E3470" s="605"/>
      <c r="F3470" s="606"/>
      <c r="G3470" s="600">
        <v>5</v>
      </c>
      <c r="H3470" s="599">
        <v>6</v>
      </c>
    </row>
    <row r="3471" spans="1:8" ht="12.75" customHeight="1">
      <c r="A3471" s="607">
        <v>1</v>
      </c>
      <c r="B3471" s="709" t="s">
        <v>624</v>
      </c>
      <c r="C3471" s="709"/>
      <c r="D3471" s="709"/>
      <c r="E3471" s="709"/>
      <c r="F3471" s="709"/>
      <c r="G3471" s="709"/>
      <c r="H3471" s="709"/>
    </row>
    <row r="3472" spans="1:8" ht="15.75">
      <c r="A3472" s="608" t="s">
        <v>74</v>
      </c>
      <c r="B3472" s="609" t="s">
        <v>625</v>
      </c>
      <c r="C3472" s="610" t="s">
        <v>379</v>
      </c>
      <c r="D3472" s="610" t="s">
        <v>379</v>
      </c>
      <c r="E3472" s="610" t="s">
        <v>379</v>
      </c>
      <c r="F3472" s="610" t="s">
        <v>379</v>
      </c>
      <c r="G3472" s="610" t="s">
        <v>379</v>
      </c>
      <c r="H3472" s="611" t="s">
        <v>626</v>
      </c>
    </row>
    <row r="3473" spans="1:8" ht="15.75">
      <c r="A3473" s="608" t="s">
        <v>313</v>
      </c>
      <c r="B3473" s="609" t="s">
        <v>627</v>
      </c>
      <c r="C3473" s="610" t="s">
        <v>379</v>
      </c>
      <c r="D3473" s="610" t="s">
        <v>379</v>
      </c>
      <c r="E3473" s="610" t="s">
        <v>379</v>
      </c>
      <c r="F3473" s="610" t="s">
        <v>379</v>
      </c>
      <c r="G3473" s="610" t="s">
        <v>379</v>
      </c>
      <c r="H3473" s="611" t="s">
        <v>626</v>
      </c>
    </row>
    <row r="3474" spans="1:8" ht="31.5">
      <c r="A3474" s="608" t="s">
        <v>315</v>
      </c>
      <c r="B3474" s="612" t="s">
        <v>628</v>
      </c>
      <c r="C3474" s="610" t="s">
        <v>379</v>
      </c>
      <c r="D3474" s="610" t="s">
        <v>379</v>
      </c>
      <c r="E3474" s="610" t="s">
        <v>379</v>
      </c>
      <c r="F3474" s="610" t="s">
        <v>379</v>
      </c>
      <c r="G3474" s="610" t="s">
        <v>379</v>
      </c>
      <c r="H3474" s="611" t="s">
        <v>626</v>
      </c>
    </row>
    <row r="3475" spans="1:8" ht="47.25">
      <c r="A3475" s="608" t="s">
        <v>317</v>
      </c>
      <c r="B3475" s="612" t="s">
        <v>629</v>
      </c>
      <c r="C3475" s="610" t="s">
        <v>379</v>
      </c>
      <c r="D3475" s="610" t="s">
        <v>379</v>
      </c>
      <c r="E3475" s="610" t="s">
        <v>379</v>
      </c>
      <c r="F3475" s="610" t="s">
        <v>379</v>
      </c>
      <c r="G3475" s="610" t="s">
        <v>379</v>
      </c>
      <c r="H3475" s="611" t="s">
        <v>626</v>
      </c>
    </row>
    <row r="3476" spans="1:8" ht="15.75">
      <c r="A3476" s="608" t="s">
        <v>630</v>
      </c>
      <c r="B3476" s="613" t="s">
        <v>631</v>
      </c>
      <c r="C3476" s="610" t="s">
        <v>379</v>
      </c>
      <c r="D3476" s="610" t="s">
        <v>379</v>
      </c>
      <c r="E3476" s="610" t="s">
        <v>379</v>
      </c>
      <c r="F3476" s="610" t="s">
        <v>379</v>
      </c>
      <c r="G3476" s="610" t="s">
        <v>379</v>
      </c>
      <c r="H3476" s="611" t="s">
        <v>626</v>
      </c>
    </row>
    <row r="3477" spans="1:8" ht="15.75">
      <c r="A3477" s="608" t="s">
        <v>632</v>
      </c>
      <c r="B3477" s="613" t="s">
        <v>633</v>
      </c>
      <c r="C3477" s="610" t="s">
        <v>379</v>
      </c>
      <c r="D3477" s="610" t="s">
        <v>379</v>
      </c>
      <c r="E3477" s="610" t="s">
        <v>379</v>
      </c>
      <c r="F3477" s="610" t="s">
        <v>379</v>
      </c>
      <c r="G3477" s="610" t="s">
        <v>379</v>
      </c>
      <c r="H3477" s="611" t="s">
        <v>626</v>
      </c>
    </row>
    <row r="3478" spans="1:8" ht="12.75" customHeight="1">
      <c r="A3478" s="608">
        <v>2</v>
      </c>
      <c r="B3478" s="706" t="s">
        <v>634</v>
      </c>
      <c r="C3478" s="706"/>
      <c r="D3478" s="706"/>
      <c r="E3478" s="706"/>
      <c r="F3478" s="706"/>
      <c r="G3478" s="706"/>
      <c r="H3478" s="706"/>
    </row>
    <row r="3479" spans="1:8" ht="31.5">
      <c r="A3479" s="608" t="s">
        <v>321</v>
      </c>
      <c r="B3479" s="612" t="s">
        <v>635</v>
      </c>
      <c r="C3479" s="610" t="s">
        <v>710</v>
      </c>
      <c r="D3479" s="610" t="s">
        <v>711</v>
      </c>
      <c r="E3479" s="610" t="s">
        <v>379</v>
      </c>
      <c r="F3479" s="610" t="s">
        <v>379</v>
      </c>
      <c r="G3479" s="614">
        <v>0</v>
      </c>
      <c r="H3479" s="611"/>
    </row>
    <row r="3480" spans="1:8" ht="47.25">
      <c r="A3480" s="608" t="s">
        <v>325</v>
      </c>
      <c r="B3480" s="612" t="s">
        <v>638</v>
      </c>
      <c r="C3480" s="610" t="s">
        <v>379</v>
      </c>
      <c r="D3480" s="610" t="s">
        <v>379</v>
      </c>
      <c r="E3480" s="610" t="s">
        <v>379</v>
      </c>
      <c r="F3480" s="610" t="s">
        <v>379</v>
      </c>
      <c r="G3480" s="610" t="s">
        <v>379</v>
      </c>
      <c r="H3480" s="611" t="s">
        <v>626</v>
      </c>
    </row>
    <row r="3481" spans="1:8" ht="31.5">
      <c r="A3481" s="608" t="s">
        <v>639</v>
      </c>
      <c r="B3481" s="612" t="s">
        <v>640</v>
      </c>
      <c r="C3481" s="610" t="s">
        <v>379</v>
      </c>
      <c r="D3481" s="610" t="s">
        <v>379</v>
      </c>
      <c r="E3481" s="610" t="s">
        <v>379</v>
      </c>
      <c r="F3481" s="610" t="s">
        <v>379</v>
      </c>
      <c r="G3481" s="610" t="s">
        <v>379</v>
      </c>
      <c r="H3481" s="611" t="s">
        <v>626</v>
      </c>
    </row>
    <row r="3482" spans="1:8" ht="12.75" customHeight="1">
      <c r="A3482" s="608">
        <v>3</v>
      </c>
      <c r="B3482" s="706" t="s">
        <v>641</v>
      </c>
      <c r="C3482" s="706"/>
      <c r="D3482" s="706"/>
      <c r="E3482" s="706"/>
      <c r="F3482" s="706"/>
      <c r="G3482" s="706"/>
      <c r="H3482" s="706"/>
    </row>
    <row r="3483" spans="1:8" ht="31.5">
      <c r="A3483" s="608" t="s">
        <v>378</v>
      </c>
      <c r="B3483" s="613" t="s">
        <v>642</v>
      </c>
      <c r="C3483" s="610" t="s">
        <v>379</v>
      </c>
      <c r="D3483" s="610" t="s">
        <v>379</v>
      </c>
      <c r="E3483" s="610" t="s">
        <v>379</v>
      </c>
      <c r="F3483" s="610" t="s">
        <v>379</v>
      </c>
      <c r="G3483" s="610" t="s">
        <v>379</v>
      </c>
      <c r="H3483" s="611" t="s">
        <v>626</v>
      </c>
    </row>
    <row r="3484" spans="1:8" ht="15.75">
      <c r="A3484" s="608" t="s">
        <v>643</v>
      </c>
      <c r="B3484" s="613" t="s">
        <v>644</v>
      </c>
      <c r="C3484" s="610" t="s">
        <v>710</v>
      </c>
      <c r="D3484" s="610" t="s">
        <v>712</v>
      </c>
      <c r="E3484" s="610" t="s">
        <v>379</v>
      </c>
      <c r="F3484" s="610" t="s">
        <v>379</v>
      </c>
      <c r="G3484" s="614">
        <v>0</v>
      </c>
      <c r="H3484" s="611"/>
    </row>
    <row r="3485" spans="1:8" ht="15.75">
      <c r="A3485" s="608" t="s">
        <v>380</v>
      </c>
      <c r="B3485" s="613" t="s">
        <v>646</v>
      </c>
      <c r="C3485" s="610" t="s">
        <v>713</v>
      </c>
      <c r="D3485" s="610" t="s">
        <v>714</v>
      </c>
      <c r="E3485" s="610" t="s">
        <v>379</v>
      </c>
      <c r="F3485" s="610" t="s">
        <v>379</v>
      </c>
      <c r="G3485" s="614">
        <v>0</v>
      </c>
      <c r="H3485" s="611"/>
    </row>
    <row r="3486" spans="1:8" ht="15.75">
      <c r="A3486" s="608" t="s">
        <v>649</v>
      </c>
      <c r="B3486" s="613" t="s">
        <v>650</v>
      </c>
      <c r="C3486" s="610" t="s">
        <v>715</v>
      </c>
      <c r="D3486" s="610" t="s">
        <v>716</v>
      </c>
      <c r="E3486" s="610" t="s">
        <v>379</v>
      </c>
      <c r="F3486" s="610" t="s">
        <v>379</v>
      </c>
      <c r="G3486" s="614">
        <v>0</v>
      </c>
      <c r="H3486" s="611"/>
    </row>
    <row r="3487" spans="1:8" ht="15.75">
      <c r="A3487" s="608" t="s">
        <v>653</v>
      </c>
      <c r="B3487" s="613" t="s">
        <v>654</v>
      </c>
      <c r="C3487" s="610" t="s">
        <v>717</v>
      </c>
      <c r="D3487" s="610" t="s">
        <v>711</v>
      </c>
      <c r="E3487" s="610" t="s">
        <v>379</v>
      </c>
      <c r="F3487" s="610" t="s">
        <v>379</v>
      </c>
      <c r="G3487" s="614">
        <v>0</v>
      </c>
      <c r="H3487" s="611"/>
    </row>
    <row r="3488" spans="1:8" ht="12.75" customHeight="1">
      <c r="A3488" s="608">
        <v>4</v>
      </c>
      <c r="B3488" s="706" t="s">
        <v>656</v>
      </c>
      <c r="C3488" s="706"/>
      <c r="D3488" s="706"/>
      <c r="E3488" s="706"/>
      <c r="F3488" s="706"/>
      <c r="G3488" s="706"/>
      <c r="H3488" s="706"/>
    </row>
    <row r="3489" spans="1:8" ht="31.5">
      <c r="A3489" s="608" t="s">
        <v>657</v>
      </c>
      <c r="B3489" s="612" t="s">
        <v>658</v>
      </c>
      <c r="C3489" s="610" t="s">
        <v>379</v>
      </c>
      <c r="D3489" s="610" t="s">
        <v>379</v>
      </c>
      <c r="E3489" s="610" t="s">
        <v>379</v>
      </c>
      <c r="F3489" s="610" t="s">
        <v>379</v>
      </c>
      <c r="G3489" s="610" t="s">
        <v>379</v>
      </c>
      <c r="H3489" s="611" t="s">
        <v>626</v>
      </c>
    </row>
    <row r="3490" spans="1:8" ht="47.25">
      <c r="A3490" s="608" t="s">
        <v>659</v>
      </c>
      <c r="B3490" s="612" t="s">
        <v>660</v>
      </c>
      <c r="C3490" s="610" t="s">
        <v>379</v>
      </c>
      <c r="D3490" s="610" t="s">
        <v>379</v>
      </c>
      <c r="E3490" s="610" t="s">
        <v>379</v>
      </c>
      <c r="F3490" s="610" t="s">
        <v>379</v>
      </c>
      <c r="G3490" s="610" t="s">
        <v>379</v>
      </c>
      <c r="H3490" s="611" t="s">
        <v>626</v>
      </c>
    </row>
    <row r="3491" spans="1:8" ht="31.5">
      <c r="A3491" s="608" t="s">
        <v>661</v>
      </c>
      <c r="B3491" s="613" t="s">
        <v>662</v>
      </c>
      <c r="C3491" s="610" t="s">
        <v>379</v>
      </c>
      <c r="D3491" s="610" t="s">
        <v>379</v>
      </c>
      <c r="E3491" s="610" t="s">
        <v>379</v>
      </c>
      <c r="F3491" s="610" t="s">
        <v>379</v>
      </c>
      <c r="G3491" s="610" t="s">
        <v>379</v>
      </c>
      <c r="H3491" s="611" t="s">
        <v>626</v>
      </c>
    </row>
    <row r="3492" spans="1:8" ht="31.5">
      <c r="A3492" s="615" t="s">
        <v>663</v>
      </c>
      <c r="B3492" s="616" t="s">
        <v>664</v>
      </c>
      <c r="C3492" s="617" t="s">
        <v>379</v>
      </c>
      <c r="D3492" s="617" t="s">
        <v>379</v>
      </c>
      <c r="E3492" s="617" t="s">
        <v>379</v>
      </c>
      <c r="F3492" s="617" t="s">
        <v>379</v>
      </c>
      <c r="G3492" s="617" t="s">
        <v>379</v>
      </c>
      <c r="H3492" s="618" t="s">
        <v>626</v>
      </c>
    </row>
    <row r="3493" spans="1:8" ht="15.75">
      <c r="A3493" s="619"/>
      <c r="B3493" s="620"/>
      <c r="C3493" s="621"/>
      <c r="D3493" s="621"/>
      <c r="E3493" s="621"/>
      <c r="F3493" s="621"/>
      <c r="G3493" s="621"/>
      <c r="H3493" s="148"/>
    </row>
    <row r="3494" spans="1:8" ht="12.75" customHeight="1">
      <c r="A3494" s="707" t="s">
        <v>665</v>
      </c>
      <c r="B3494" s="707"/>
      <c r="C3494" s="707"/>
      <c r="D3494" s="707"/>
      <c r="E3494" s="707"/>
      <c r="F3494" s="707"/>
      <c r="G3494" s="707"/>
      <c r="H3494" s="707"/>
    </row>
    <row r="3495" spans="1:8" ht="15.75">
      <c r="A3495" s="622"/>
      <c r="B3495" s="622"/>
      <c r="C3495" s="622"/>
      <c r="D3495" s="622"/>
      <c r="E3495" s="622"/>
      <c r="F3495" s="622"/>
      <c r="G3495" s="622"/>
      <c r="H3495" s="622"/>
    </row>
    <row r="3496" spans="1:8" ht="15.75">
      <c r="A3496" s="622"/>
      <c r="B3496" s="622"/>
      <c r="C3496" s="622"/>
      <c r="D3496" s="622"/>
      <c r="E3496" s="622"/>
      <c r="F3496" s="622"/>
      <c r="G3496" s="622"/>
      <c r="H3496" s="622"/>
    </row>
    <row r="3497" spans="1:8" ht="15.75">
      <c r="A3497" s="622"/>
      <c r="B3497" s="622"/>
      <c r="C3497" s="622"/>
      <c r="D3497" s="622"/>
      <c r="E3497" s="622"/>
      <c r="F3497" s="622"/>
      <c r="G3497" s="622"/>
      <c r="H3497" s="622"/>
    </row>
    <row r="3498" ht="15.75">
      <c r="H3498" s="11" t="s">
        <v>609</v>
      </c>
    </row>
    <row r="3499" ht="15.75">
      <c r="H3499" s="11" t="s">
        <v>610</v>
      </c>
    </row>
    <row r="3500" ht="15.75">
      <c r="H3500" s="11" t="s">
        <v>611</v>
      </c>
    </row>
    <row r="3501" ht="15.75">
      <c r="H3501" s="11"/>
    </row>
    <row r="3502" spans="1:8" ht="12.75" customHeight="1">
      <c r="A3502" s="713" t="s">
        <v>612</v>
      </c>
      <c r="B3502" s="713"/>
      <c r="C3502" s="713"/>
      <c r="D3502" s="713"/>
      <c r="E3502" s="713"/>
      <c r="F3502" s="713"/>
      <c r="G3502" s="713"/>
      <c r="H3502" s="713"/>
    </row>
    <row r="3503" spans="1:8" ht="12.75" customHeight="1">
      <c r="A3503" s="713" t="s">
        <v>613</v>
      </c>
      <c r="B3503" s="713"/>
      <c r="C3503" s="713"/>
      <c r="D3503" s="713"/>
      <c r="E3503" s="713"/>
      <c r="F3503" s="713"/>
      <c r="G3503" s="713"/>
      <c r="H3503" s="713"/>
    </row>
    <row r="3504" ht="15.75">
      <c r="H3504" s="11" t="s">
        <v>43</v>
      </c>
    </row>
    <row r="3505" ht="15.75">
      <c r="H3505" s="11" t="s">
        <v>44</v>
      </c>
    </row>
    <row r="3506" ht="15.75">
      <c r="H3506" s="11" t="s">
        <v>45</v>
      </c>
    </row>
    <row r="3507" ht="15.75">
      <c r="H3507" s="594" t="s">
        <v>614</v>
      </c>
    </row>
    <row r="3508" ht="15.75">
      <c r="H3508" s="11" t="s">
        <v>615</v>
      </c>
    </row>
    <row r="3509" ht="15.75">
      <c r="H3509" s="11" t="s">
        <v>47</v>
      </c>
    </row>
    <row r="3510" ht="15.75">
      <c r="A3510" s="595"/>
    </row>
    <row r="3511" ht="15.75">
      <c r="A3511" s="3" t="s">
        <v>813</v>
      </c>
    </row>
    <row r="3512" spans="1:8" ht="12.75" customHeight="1">
      <c r="A3512" s="717" t="s">
        <v>0</v>
      </c>
      <c r="B3512" s="714"/>
      <c r="C3512" s="714"/>
      <c r="D3512" s="714"/>
      <c r="E3512" s="714"/>
      <c r="F3512" s="714"/>
      <c r="G3512" s="714"/>
      <c r="H3512" s="714"/>
    </row>
    <row r="3513" spans="1:8" ht="16.5" thickBot="1">
      <c r="A3513" s="597"/>
      <c r="B3513" s="597"/>
      <c r="C3513" s="598"/>
      <c r="D3513" s="598"/>
      <c r="E3513" s="598"/>
      <c r="F3513" s="598"/>
      <c r="G3513" s="598"/>
      <c r="H3513" s="598"/>
    </row>
    <row r="3514" spans="1:8" ht="12.75" customHeight="1">
      <c r="A3514" s="708" t="s">
        <v>617</v>
      </c>
      <c r="B3514" s="710" t="s">
        <v>618</v>
      </c>
      <c r="C3514" s="711" t="s">
        <v>619</v>
      </c>
      <c r="D3514" s="711"/>
      <c r="E3514" s="711"/>
      <c r="F3514" s="711"/>
      <c r="G3514" s="712" t="s">
        <v>620</v>
      </c>
      <c r="H3514" s="708" t="s">
        <v>621</v>
      </c>
    </row>
    <row r="3515" spans="1:8" ht="15.75">
      <c r="A3515" s="708"/>
      <c r="B3515" s="710"/>
      <c r="C3515" s="711"/>
      <c r="D3515" s="711"/>
      <c r="E3515" s="711"/>
      <c r="F3515" s="711"/>
      <c r="G3515" s="712"/>
      <c r="H3515" s="708"/>
    </row>
    <row r="3516" spans="1:8" ht="31.5">
      <c r="A3516" s="708"/>
      <c r="B3516" s="710"/>
      <c r="C3516" s="601" t="s">
        <v>622</v>
      </c>
      <c r="D3516" s="601" t="s">
        <v>623</v>
      </c>
      <c r="E3516" s="602" t="s">
        <v>622</v>
      </c>
      <c r="F3516" s="603" t="s">
        <v>623</v>
      </c>
      <c r="G3516" s="712"/>
      <c r="H3516" s="708"/>
    </row>
    <row r="3517" spans="1:8" ht="15.75">
      <c r="A3517" s="599">
        <v>1</v>
      </c>
      <c r="B3517" s="599">
        <v>2</v>
      </c>
      <c r="C3517" s="604">
        <v>3</v>
      </c>
      <c r="D3517" s="604">
        <v>4</v>
      </c>
      <c r="E3517" s="605"/>
      <c r="F3517" s="606"/>
      <c r="G3517" s="600">
        <v>5</v>
      </c>
      <c r="H3517" s="599">
        <v>6</v>
      </c>
    </row>
    <row r="3518" spans="1:8" ht="12.75" customHeight="1">
      <c r="A3518" s="607">
        <v>1</v>
      </c>
      <c r="B3518" s="709" t="s">
        <v>624</v>
      </c>
      <c r="C3518" s="709"/>
      <c r="D3518" s="709"/>
      <c r="E3518" s="709"/>
      <c r="F3518" s="709"/>
      <c r="G3518" s="709"/>
      <c r="H3518" s="709"/>
    </row>
    <row r="3519" spans="1:8" ht="15.75">
      <c r="A3519" s="608" t="s">
        <v>74</v>
      </c>
      <c r="B3519" s="609" t="s">
        <v>625</v>
      </c>
      <c r="C3519" s="610" t="s">
        <v>379</v>
      </c>
      <c r="D3519" s="610" t="s">
        <v>379</v>
      </c>
      <c r="E3519" s="610" t="s">
        <v>379</v>
      </c>
      <c r="F3519" s="610" t="s">
        <v>379</v>
      </c>
      <c r="G3519" s="610" t="s">
        <v>379</v>
      </c>
      <c r="H3519" s="611" t="s">
        <v>626</v>
      </c>
    </row>
    <row r="3520" spans="1:8" ht="15.75">
      <c r="A3520" s="608" t="s">
        <v>313</v>
      </c>
      <c r="B3520" s="609" t="s">
        <v>627</v>
      </c>
      <c r="C3520" s="610" t="s">
        <v>379</v>
      </c>
      <c r="D3520" s="610" t="s">
        <v>379</v>
      </c>
      <c r="E3520" s="610" t="s">
        <v>379</v>
      </c>
      <c r="F3520" s="610" t="s">
        <v>379</v>
      </c>
      <c r="G3520" s="610" t="s">
        <v>379</v>
      </c>
      <c r="H3520" s="611" t="s">
        <v>626</v>
      </c>
    </row>
    <row r="3521" spans="1:8" ht="31.5">
      <c r="A3521" s="608" t="s">
        <v>315</v>
      </c>
      <c r="B3521" s="612" t="s">
        <v>628</v>
      </c>
      <c r="C3521" s="610" t="s">
        <v>379</v>
      </c>
      <c r="D3521" s="610" t="s">
        <v>379</v>
      </c>
      <c r="E3521" s="610" t="s">
        <v>379</v>
      </c>
      <c r="F3521" s="610" t="s">
        <v>379</v>
      </c>
      <c r="G3521" s="610" t="s">
        <v>379</v>
      </c>
      <c r="H3521" s="611" t="s">
        <v>626</v>
      </c>
    </row>
    <row r="3522" spans="1:8" ht="47.25">
      <c r="A3522" s="608" t="s">
        <v>317</v>
      </c>
      <c r="B3522" s="612" t="s">
        <v>629</v>
      </c>
      <c r="C3522" s="610" t="s">
        <v>379</v>
      </c>
      <c r="D3522" s="610" t="s">
        <v>379</v>
      </c>
      <c r="E3522" s="610" t="s">
        <v>379</v>
      </c>
      <c r="F3522" s="610" t="s">
        <v>379</v>
      </c>
      <c r="G3522" s="610" t="s">
        <v>379</v>
      </c>
      <c r="H3522" s="611" t="s">
        <v>626</v>
      </c>
    </row>
    <row r="3523" spans="1:8" ht="15.75">
      <c r="A3523" s="608" t="s">
        <v>630</v>
      </c>
      <c r="B3523" s="613" t="s">
        <v>631</v>
      </c>
      <c r="C3523" s="610" t="s">
        <v>379</v>
      </c>
      <c r="D3523" s="610" t="s">
        <v>379</v>
      </c>
      <c r="E3523" s="610" t="s">
        <v>379</v>
      </c>
      <c r="F3523" s="610" t="s">
        <v>379</v>
      </c>
      <c r="G3523" s="610" t="s">
        <v>379</v>
      </c>
      <c r="H3523" s="611" t="s">
        <v>626</v>
      </c>
    </row>
    <row r="3524" spans="1:8" ht="15.75">
      <c r="A3524" s="608" t="s">
        <v>632</v>
      </c>
      <c r="B3524" s="613" t="s">
        <v>633</v>
      </c>
      <c r="C3524" s="610" t="s">
        <v>379</v>
      </c>
      <c r="D3524" s="610" t="s">
        <v>379</v>
      </c>
      <c r="E3524" s="610" t="s">
        <v>379</v>
      </c>
      <c r="F3524" s="610" t="s">
        <v>379</v>
      </c>
      <c r="G3524" s="610" t="s">
        <v>379</v>
      </c>
      <c r="H3524" s="611" t="s">
        <v>626</v>
      </c>
    </row>
    <row r="3525" spans="1:8" ht="12.75" customHeight="1">
      <c r="A3525" s="608">
        <v>2</v>
      </c>
      <c r="B3525" s="706" t="s">
        <v>634</v>
      </c>
      <c r="C3525" s="706"/>
      <c r="D3525" s="706"/>
      <c r="E3525" s="706"/>
      <c r="F3525" s="706"/>
      <c r="G3525" s="706"/>
      <c r="H3525" s="706"/>
    </row>
    <row r="3526" spans="1:8" ht="31.5">
      <c r="A3526" s="608" t="s">
        <v>321</v>
      </c>
      <c r="B3526" s="612" t="s">
        <v>635</v>
      </c>
      <c r="C3526" s="610" t="s">
        <v>676</v>
      </c>
      <c r="D3526" s="610" t="s">
        <v>677</v>
      </c>
      <c r="E3526" s="610" t="s">
        <v>379</v>
      </c>
      <c r="F3526" s="610" t="s">
        <v>379</v>
      </c>
      <c r="G3526" s="614">
        <v>0</v>
      </c>
      <c r="H3526" s="611"/>
    </row>
    <row r="3527" spans="1:8" ht="47.25">
      <c r="A3527" s="608" t="s">
        <v>325</v>
      </c>
      <c r="B3527" s="612" t="s">
        <v>638</v>
      </c>
      <c r="C3527" s="610" t="s">
        <v>379</v>
      </c>
      <c r="D3527" s="610" t="s">
        <v>379</v>
      </c>
      <c r="E3527" s="610" t="s">
        <v>379</v>
      </c>
      <c r="F3527" s="610" t="s">
        <v>379</v>
      </c>
      <c r="G3527" s="610" t="s">
        <v>379</v>
      </c>
      <c r="H3527" s="611" t="s">
        <v>626</v>
      </c>
    </row>
    <row r="3528" spans="1:8" ht="31.5">
      <c r="A3528" s="608" t="s">
        <v>639</v>
      </c>
      <c r="B3528" s="612" t="s">
        <v>640</v>
      </c>
      <c r="C3528" s="610" t="s">
        <v>379</v>
      </c>
      <c r="D3528" s="610" t="s">
        <v>379</v>
      </c>
      <c r="E3528" s="610" t="s">
        <v>379</v>
      </c>
      <c r="F3528" s="610" t="s">
        <v>379</v>
      </c>
      <c r="G3528" s="610" t="s">
        <v>379</v>
      </c>
      <c r="H3528" s="611" t="s">
        <v>626</v>
      </c>
    </row>
    <row r="3529" spans="1:8" ht="12.75" customHeight="1">
      <c r="A3529" s="608">
        <v>3</v>
      </c>
      <c r="B3529" s="706" t="s">
        <v>641</v>
      </c>
      <c r="C3529" s="706"/>
      <c r="D3529" s="706"/>
      <c r="E3529" s="706"/>
      <c r="F3529" s="706"/>
      <c r="G3529" s="706"/>
      <c r="H3529" s="706"/>
    </row>
    <row r="3530" spans="1:8" ht="31.5">
      <c r="A3530" s="608" t="s">
        <v>378</v>
      </c>
      <c r="B3530" s="613" t="s">
        <v>642</v>
      </c>
      <c r="C3530" s="610" t="s">
        <v>379</v>
      </c>
      <c r="D3530" s="610" t="s">
        <v>379</v>
      </c>
      <c r="E3530" s="610" t="s">
        <v>379</v>
      </c>
      <c r="F3530" s="610" t="s">
        <v>379</v>
      </c>
      <c r="G3530" s="610" t="s">
        <v>379</v>
      </c>
      <c r="H3530" s="611" t="s">
        <v>626</v>
      </c>
    </row>
    <row r="3531" spans="1:8" ht="15.75">
      <c r="A3531" s="608" t="s">
        <v>643</v>
      </c>
      <c r="B3531" s="613" t="s">
        <v>644</v>
      </c>
      <c r="C3531" s="610" t="s">
        <v>676</v>
      </c>
      <c r="D3531" s="610" t="s">
        <v>678</v>
      </c>
      <c r="E3531" s="610" t="s">
        <v>379</v>
      </c>
      <c r="F3531" s="610" t="s">
        <v>379</v>
      </c>
      <c r="G3531" s="614">
        <v>0</v>
      </c>
      <c r="H3531" s="611"/>
    </row>
    <row r="3532" spans="1:8" ht="15.75">
      <c r="A3532" s="608" t="s">
        <v>380</v>
      </c>
      <c r="B3532" s="613" t="s">
        <v>646</v>
      </c>
      <c r="C3532" s="610" t="s">
        <v>679</v>
      </c>
      <c r="D3532" s="610" t="s">
        <v>680</v>
      </c>
      <c r="E3532" s="610" t="s">
        <v>379</v>
      </c>
      <c r="F3532" s="610" t="s">
        <v>379</v>
      </c>
      <c r="G3532" s="614">
        <v>0</v>
      </c>
      <c r="H3532" s="611"/>
    </row>
    <row r="3533" spans="1:8" ht="15.75">
      <c r="A3533" s="608" t="s">
        <v>649</v>
      </c>
      <c r="B3533" s="613" t="s">
        <v>650</v>
      </c>
      <c r="C3533" s="610" t="s">
        <v>681</v>
      </c>
      <c r="D3533" s="610" t="s">
        <v>682</v>
      </c>
      <c r="E3533" s="610" t="s">
        <v>379</v>
      </c>
      <c r="F3533" s="610" t="s">
        <v>379</v>
      </c>
      <c r="G3533" s="614">
        <v>0</v>
      </c>
      <c r="H3533" s="611"/>
    </row>
    <row r="3534" spans="1:8" ht="15.75">
      <c r="A3534" s="608" t="s">
        <v>653</v>
      </c>
      <c r="B3534" s="613" t="s">
        <v>654</v>
      </c>
      <c r="C3534" s="610" t="s">
        <v>682</v>
      </c>
      <c r="D3534" s="610" t="s">
        <v>677</v>
      </c>
      <c r="E3534" s="610" t="s">
        <v>379</v>
      </c>
      <c r="F3534" s="610" t="s">
        <v>379</v>
      </c>
      <c r="G3534" s="614">
        <v>0</v>
      </c>
      <c r="H3534" s="611"/>
    </row>
    <row r="3535" spans="1:8" ht="12.75" customHeight="1">
      <c r="A3535" s="608">
        <v>4</v>
      </c>
      <c r="B3535" s="706" t="s">
        <v>656</v>
      </c>
      <c r="C3535" s="706"/>
      <c r="D3535" s="706"/>
      <c r="E3535" s="706"/>
      <c r="F3535" s="706"/>
      <c r="G3535" s="706"/>
      <c r="H3535" s="706"/>
    </row>
    <row r="3536" spans="1:8" ht="31.5">
      <c r="A3536" s="608" t="s">
        <v>657</v>
      </c>
      <c r="B3536" s="612" t="s">
        <v>658</v>
      </c>
      <c r="C3536" s="610" t="s">
        <v>379</v>
      </c>
      <c r="D3536" s="610" t="s">
        <v>379</v>
      </c>
      <c r="E3536" s="610" t="s">
        <v>379</v>
      </c>
      <c r="F3536" s="610" t="s">
        <v>379</v>
      </c>
      <c r="G3536" s="610" t="s">
        <v>379</v>
      </c>
      <c r="H3536" s="611" t="s">
        <v>626</v>
      </c>
    </row>
    <row r="3537" spans="1:8" ht="47.25">
      <c r="A3537" s="608" t="s">
        <v>659</v>
      </c>
      <c r="B3537" s="612" t="s">
        <v>660</v>
      </c>
      <c r="C3537" s="610" t="s">
        <v>379</v>
      </c>
      <c r="D3537" s="610" t="s">
        <v>379</v>
      </c>
      <c r="E3537" s="610" t="s">
        <v>379</v>
      </c>
      <c r="F3537" s="610" t="s">
        <v>379</v>
      </c>
      <c r="G3537" s="610" t="s">
        <v>379</v>
      </c>
      <c r="H3537" s="611" t="s">
        <v>626</v>
      </c>
    </row>
    <row r="3538" spans="1:8" ht="31.5">
      <c r="A3538" s="608" t="s">
        <v>661</v>
      </c>
      <c r="B3538" s="613" t="s">
        <v>662</v>
      </c>
      <c r="C3538" s="610" t="s">
        <v>379</v>
      </c>
      <c r="D3538" s="610" t="s">
        <v>379</v>
      </c>
      <c r="E3538" s="610" t="s">
        <v>379</v>
      </c>
      <c r="F3538" s="610" t="s">
        <v>379</v>
      </c>
      <c r="G3538" s="610" t="s">
        <v>379</v>
      </c>
      <c r="H3538" s="611" t="s">
        <v>626</v>
      </c>
    </row>
    <row r="3539" spans="1:8" ht="31.5">
      <c r="A3539" s="615" t="s">
        <v>663</v>
      </c>
      <c r="B3539" s="616" t="s">
        <v>664</v>
      </c>
      <c r="C3539" s="617" t="s">
        <v>379</v>
      </c>
      <c r="D3539" s="617" t="s">
        <v>379</v>
      </c>
      <c r="E3539" s="617" t="s">
        <v>379</v>
      </c>
      <c r="F3539" s="617" t="s">
        <v>379</v>
      </c>
      <c r="G3539" s="617" t="s">
        <v>379</v>
      </c>
      <c r="H3539" s="618" t="s">
        <v>626</v>
      </c>
    </row>
    <row r="3540" spans="1:8" ht="15.75">
      <c r="A3540" s="619"/>
      <c r="B3540" s="620"/>
      <c r="C3540" s="621"/>
      <c r="D3540" s="621"/>
      <c r="E3540" s="621"/>
      <c r="F3540" s="621"/>
      <c r="G3540" s="621"/>
      <c r="H3540" s="148"/>
    </row>
    <row r="3541" spans="1:8" ht="12.75" customHeight="1">
      <c r="A3541" s="707" t="s">
        <v>665</v>
      </c>
      <c r="B3541" s="707"/>
      <c r="C3541" s="707"/>
      <c r="D3541" s="707"/>
      <c r="E3541" s="707"/>
      <c r="F3541" s="707"/>
      <c r="G3541" s="707"/>
      <c r="H3541" s="707"/>
    </row>
    <row r="3542" spans="1:8" ht="15.75">
      <c r="A3542" s="622"/>
      <c r="B3542" s="622"/>
      <c r="C3542" s="622"/>
      <c r="D3542" s="622"/>
      <c r="E3542" s="622"/>
      <c r="F3542" s="622"/>
      <c r="G3542" s="622"/>
      <c r="H3542" s="622"/>
    </row>
    <row r="3543" spans="1:8" ht="15.75">
      <c r="A3543" s="622"/>
      <c r="B3543" s="622"/>
      <c r="C3543" s="622"/>
      <c r="D3543" s="622"/>
      <c r="E3543" s="622"/>
      <c r="F3543" s="622"/>
      <c r="G3543" s="622"/>
      <c r="H3543" s="622"/>
    </row>
    <row r="3544" spans="1:8" ht="15.75">
      <c r="A3544" s="622"/>
      <c r="B3544" s="622"/>
      <c r="C3544" s="622"/>
      <c r="D3544" s="622"/>
      <c r="E3544" s="622"/>
      <c r="F3544" s="622"/>
      <c r="G3544" s="622"/>
      <c r="H3544" s="622"/>
    </row>
    <row r="3545" spans="1:8" ht="15.75">
      <c r="A3545" s="622"/>
      <c r="B3545" s="622"/>
      <c r="C3545" s="622"/>
      <c r="D3545" s="622"/>
      <c r="E3545" s="622"/>
      <c r="F3545" s="622"/>
      <c r="G3545" s="622"/>
      <c r="H3545" s="622"/>
    </row>
    <row r="3546" ht="15.75">
      <c r="H3546" s="11" t="s">
        <v>609</v>
      </c>
    </row>
    <row r="3547" ht="15.75">
      <c r="H3547" s="11" t="s">
        <v>610</v>
      </c>
    </row>
    <row r="3548" ht="15.75">
      <c r="H3548" s="11" t="s">
        <v>611</v>
      </c>
    </row>
    <row r="3549" ht="15.75">
      <c r="H3549" s="11"/>
    </row>
    <row r="3550" spans="1:8" ht="12.75" customHeight="1">
      <c r="A3550" s="713" t="s">
        <v>612</v>
      </c>
      <c r="B3550" s="713"/>
      <c r="C3550" s="713"/>
      <c r="D3550" s="713"/>
      <c r="E3550" s="713"/>
      <c r="F3550" s="713"/>
      <c r="G3550" s="713"/>
      <c r="H3550" s="713"/>
    </row>
    <row r="3551" spans="1:8" ht="12.75" customHeight="1">
      <c r="A3551" s="713" t="s">
        <v>613</v>
      </c>
      <c r="B3551" s="713"/>
      <c r="C3551" s="713"/>
      <c r="D3551" s="713"/>
      <c r="E3551" s="713"/>
      <c r="F3551" s="713"/>
      <c r="G3551" s="713"/>
      <c r="H3551" s="713"/>
    </row>
    <row r="3552" ht="15.75">
      <c r="H3552" s="11" t="s">
        <v>43</v>
      </c>
    </row>
    <row r="3553" ht="15.75">
      <c r="H3553" s="11" t="s">
        <v>44</v>
      </c>
    </row>
    <row r="3554" ht="15.75">
      <c r="H3554" s="11" t="s">
        <v>45</v>
      </c>
    </row>
    <row r="3555" ht="15.75">
      <c r="H3555" s="594" t="s">
        <v>614</v>
      </c>
    </row>
    <row r="3556" ht="15.75">
      <c r="H3556" s="11" t="s">
        <v>615</v>
      </c>
    </row>
    <row r="3557" ht="15.75">
      <c r="H3557" s="11" t="s">
        <v>47</v>
      </c>
    </row>
    <row r="3558" ht="15.75">
      <c r="A3558" s="595"/>
    </row>
    <row r="3559" ht="15.75">
      <c r="A3559" s="3" t="s">
        <v>814</v>
      </c>
    </row>
    <row r="3560" spans="1:8" ht="12.75" customHeight="1">
      <c r="A3560" s="717" t="s">
        <v>0</v>
      </c>
      <c r="B3560" s="714"/>
      <c r="C3560" s="714"/>
      <c r="D3560" s="714"/>
      <c r="E3560" s="714"/>
      <c r="F3560" s="714"/>
      <c r="G3560" s="714"/>
      <c r="H3560" s="714"/>
    </row>
    <row r="3561" spans="1:8" ht="16.5" thickBot="1">
      <c r="A3561" s="597"/>
      <c r="B3561" s="597"/>
      <c r="C3561" s="598"/>
      <c r="D3561" s="598"/>
      <c r="E3561" s="598"/>
      <c r="F3561" s="598"/>
      <c r="G3561" s="598"/>
      <c r="H3561" s="598"/>
    </row>
    <row r="3562" spans="1:8" ht="12.75" customHeight="1">
      <c r="A3562" s="708" t="s">
        <v>617</v>
      </c>
      <c r="B3562" s="710" t="s">
        <v>618</v>
      </c>
      <c r="C3562" s="711" t="s">
        <v>619</v>
      </c>
      <c r="D3562" s="711"/>
      <c r="E3562" s="711"/>
      <c r="F3562" s="711"/>
      <c r="G3562" s="712" t="s">
        <v>620</v>
      </c>
      <c r="H3562" s="708" t="s">
        <v>621</v>
      </c>
    </row>
    <row r="3563" spans="1:8" ht="15.75">
      <c r="A3563" s="708"/>
      <c r="B3563" s="710"/>
      <c r="C3563" s="711"/>
      <c r="D3563" s="711"/>
      <c r="E3563" s="711"/>
      <c r="F3563" s="711"/>
      <c r="G3563" s="712"/>
      <c r="H3563" s="708"/>
    </row>
    <row r="3564" spans="1:8" ht="31.5">
      <c r="A3564" s="708"/>
      <c r="B3564" s="710"/>
      <c r="C3564" s="601" t="s">
        <v>622</v>
      </c>
      <c r="D3564" s="601" t="s">
        <v>623</v>
      </c>
      <c r="E3564" s="602" t="s">
        <v>622</v>
      </c>
      <c r="F3564" s="603" t="s">
        <v>623</v>
      </c>
      <c r="G3564" s="712"/>
      <c r="H3564" s="708"/>
    </row>
    <row r="3565" spans="1:8" ht="15.75">
      <c r="A3565" s="599">
        <v>1</v>
      </c>
      <c r="B3565" s="599">
        <v>2</v>
      </c>
      <c r="C3565" s="604">
        <v>3</v>
      </c>
      <c r="D3565" s="604">
        <v>4</v>
      </c>
      <c r="E3565" s="605"/>
      <c r="F3565" s="606"/>
      <c r="G3565" s="600">
        <v>5</v>
      </c>
      <c r="H3565" s="599">
        <v>6</v>
      </c>
    </row>
    <row r="3566" spans="1:8" ht="12.75" customHeight="1">
      <c r="A3566" s="607">
        <v>1</v>
      </c>
      <c r="B3566" s="709" t="s">
        <v>624</v>
      </c>
      <c r="C3566" s="709"/>
      <c r="D3566" s="709"/>
      <c r="E3566" s="709"/>
      <c r="F3566" s="709"/>
      <c r="G3566" s="709"/>
      <c r="H3566" s="709"/>
    </row>
    <row r="3567" spans="1:8" ht="15.75">
      <c r="A3567" s="608" t="s">
        <v>74</v>
      </c>
      <c r="B3567" s="609" t="s">
        <v>625</v>
      </c>
      <c r="C3567" s="610" t="s">
        <v>379</v>
      </c>
      <c r="D3567" s="610" t="s">
        <v>379</v>
      </c>
      <c r="E3567" s="610" t="s">
        <v>379</v>
      </c>
      <c r="F3567" s="610" t="s">
        <v>379</v>
      </c>
      <c r="G3567" s="610" t="s">
        <v>379</v>
      </c>
      <c r="H3567" s="611" t="s">
        <v>626</v>
      </c>
    </row>
    <row r="3568" spans="1:8" ht="15.75">
      <c r="A3568" s="608" t="s">
        <v>313</v>
      </c>
      <c r="B3568" s="609" t="s">
        <v>627</v>
      </c>
      <c r="C3568" s="610" t="s">
        <v>379</v>
      </c>
      <c r="D3568" s="610" t="s">
        <v>379</v>
      </c>
      <c r="E3568" s="610" t="s">
        <v>379</v>
      </c>
      <c r="F3568" s="610" t="s">
        <v>379</v>
      </c>
      <c r="G3568" s="610" t="s">
        <v>379</v>
      </c>
      <c r="H3568" s="611" t="s">
        <v>626</v>
      </c>
    </row>
    <row r="3569" spans="1:8" ht="31.5">
      <c r="A3569" s="608" t="s">
        <v>315</v>
      </c>
      <c r="B3569" s="612" t="s">
        <v>628</v>
      </c>
      <c r="C3569" s="610" t="s">
        <v>379</v>
      </c>
      <c r="D3569" s="610" t="s">
        <v>379</v>
      </c>
      <c r="E3569" s="610" t="s">
        <v>379</v>
      </c>
      <c r="F3569" s="610" t="s">
        <v>379</v>
      </c>
      <c r="G3569" s="610" t="s">
        <v>379</v>
      </c>
      <c r="H3569" s="611" t="s">
        <v>626</v>
      </c>
    </row>
    <row r="3570" spans="1:8" ht="47.25">
      <c r="A3570" s="608" t="s">
        <v>317</v>
      </c>
      <c r="B3570" s="612" t="s">
        <v>629</v>
      </c>
      <c r="C3570" s="610" t="s">
        <v>379</v>
      </c>
      <c r="D3570" s="610" t="s">
        <v>379</v>
      </c>
      <c r="E3570" s="610" t="s">
        <v>379</v>
      </c>
      <c r="F3570" s="610" t="s">
        <v>379</v>
      </c>
      <c r="G3570" s="610" t="s">
        <v>379</v>
      </c>
      <c r="H3570" s="611" t="s">
        <v>626</v>
      </c>
    </row>
    <row r="3571" spans="1:8" ht="15.75">
      <c r="A3571" s="608" t="s">
        <v>630</v>
      </c>
      <c r="B3571" s="613" t="s">
        <v>631</v>
      </c>
      <c r="C3571" s="610" t="s">
        <v>379</v>
      </c>
      <c r="D3571" s="610" t="s">
        <v>379</v>
      </c>
      <c r="E3571" s="610" t="s">
        <v>379</v>
      </c>
      <c r="F3571" s="610" t="s">
        <v>379</v>
      </c>
      <c r="G3571" s="610" t="s">
        <v>379</v>
      </c>
      <c r="H3571" s="611" t="s">
        <v>626</v>
      </c>
    </row>
    <row r="3572" spans="1:8" ht="15.75">
      <c r="A3572" s="608" t="s">
        <v>632</v>
      </c>
      <c r="B3572" s="613" t="s">
        <v>633</v>
      </c>
      <c r="C3572" s="610" t="s">
        <v>379</v>
      </c>
      <c r="D3572" s="610" t="s">
        <v>379</v>
      </c>
      <c r="E3572" s="610" t="s">
        <v>379</v>
      </c>
      <c r="F3572" s="610" t="s">
        <v>379</v>
      </c>
      <c r="G3572" s="610" t="s">
        <v>379</v>
      </c>
      <c r="H3572" s="611" t="s">
        <v>626</v>
      </c>
    </row>
    <row r="3573" spans="1:8" ht="12.75" customHeight="1">
      <c r="A3573" s="608">
        <v>2</v>
      </c>
      <c r="B3573" s="706" t="s">
        <v>634</v>
      </c>
      <c r="C3573" s="706"/>
      <c r="D3573" s="706"/>
      <c r="E3573" s="706"/>
      <c r="F3573" s="706"/>
      <c r="G3573" s="706"/>
      <c r="H3573" s="706"/>
    </row>
    <row r="3574" spans="1:8" ht="31.5">
      <c r="A3574" s="608" t="s">
        <v>321</v>
      </c>
      <c r="B3574" s="612" t="s">
        <v>635</v>
      </c>
      <c r="C3574" s="610" t="s">
        <v>676</v>
      </c>
      <c r="D3574" s="610" t="s">
        <v>815</v>
      </c>
      <c r="E3574" s="610" t="s">
        <v>379</v>
      </c>
      <c r="F3574" s="610" t="s">
        <v>379</v>
      </c>
      <c r="G3574" s="614">
        <v>0</v>
      </c>
      <c r="H3574" s="611"/>
    </row>
    <row r="3575" spans="1:8" ht="47.25">
      <c r="A3575" s="608" t="s">
        <v>325</v>
      </c>
      <c r="B3575" s="612" t="s">
        <v>638</v>
      </c>
      <c r="C3575" s="610" t="s">
        <v>379</v>
      </c>
      <c r="D3575" s="610" t="s">
        <v>379</v>
      </c>
      <c r="E3575" s="610" t="s">
        <v>379</v>
      </c>
      <c r="F3575" s="610" t="s">
        <v>379</v>
      </c>
      <c r="G3575" s="610" t="s">
        <v>379</v>
      </c>
      <c r="H3575" s="611" t="s">
        <v>626</v>
      </c>
    </row>
    <row r="3576" spans="1:8" ht="31.5">
      <c r="A3576" s="608" t="s">
        <v>639</v>
      </c>
      <c r="B3576" s="612" t="s">
        <v>640</v>
      </c>
      <c r="C3576" s="610" t="s">
        <v>379</v>
      </c>
      <c r="D3576" s="610" t="s">
        <v>379</v>
      </c>
      <c r="E3576" s="610" t="s">
        <v>379</v>
      </c>
      <c r="F3576" s="610" t="s">
        <v>379</v>
      </c>
      <c r="G3576" s="610" t="s">
        <v>379</v>
      </c>
      <c r="H3576" s="611" t="s">
        <v>626</v>
      </c>
    </row>
    <row r="3577" spans="1:8" ht="12.75" customHeight="1">
      <c r="A3577" s="608">
        <v>3</v>
      </c>
      <c r="B3577" s="706" t="s">
        <v>641</v>
      </c>
      <c r="C3577" s="706"/>
      <c r="D3577" s="706"/>
      <c r="E3577" s="706"/>
      <c r="F3577" s="706"/>
      <c r="G3577" s="706"/>
      <c r="H3577" s="706"/>
    </row>
    <row r="3578" spans="1:8" ht="31.5">
      <c r="A3578" s="608" t="s">
        <v>378</v>
      </c>
      <c r="B3578" s="613" t="s">
        <v>642</v>
      </c>
      <c r="C3578" s="610" t="s">
        <v>379</v>
      </c>
      <c r="D3578" s="610" t="s">
        <v>379</v>
      </c>
      <c r="E3578" s="610" t="s">
        <v>379</v>
      </c>
      <c r="F3578" s="610" t="s">
        <v>379</v>
      </c>
      <c r="G3578" s="610" t="s">
        <v>379</v>
      </c>
      <c r="H3578" s="611" t="s">
        <v>626</v>
      </c>
    </row>
    <row r="3579" spans="1:8" ht="15.75">
      <c r="A3579" s="608" t="s">
        <v>643</v>
      </c>
      <c r="B3579" s="613" t="s">
        <v>644</v>
      </c>
      <c r="C3579" s="610" t="s">
        <v>676</v>
      </c>
      <c r="D3579" s="610" t="s">
        <v>667</v>
      </c>
      <c r="E3579" s="610" t="s">
        <v>379</v>
      </c>
      <c r="F3579" s="610" t="s">
        <v>379</v>
      </c>
      <c r="G3579" s="614">
        <v>0</v>
      </c>
      <c r="H3579" s="611"/>
    </row>
    <row r="3580" spans="1:8" ht="15.75">
      <c r="A3580" s="608" t="s">
        <v>380</v>
      </c>
      <c r="B3580" s="613" t="s">
        <v>646</v>
      </c>
      <c r="C3580" s="610" t="s">
        <v>679</v>
      </c>
      <c r="D3580" s="610" t="s">
        <v>816</v>
      </c>
      <c r="E3580" s="610" t="s">
        <v>379</v>
      </c>
      <c r="F3580" s="610" t="s">
        <v>379</v>
      </c>
      <c r="G3580" s="614">
        <v>0</v>
      </c>
      <c r="H3580" s="611"/>
    </row>
    <row r="3581" spans="1:8" ht="15.75">
      <c r="A3581" s="608" t="s">
        <v>649</v>
      </c>
      <c r="B3581" s="613" t="s">
        <v>650</v>
      </c>
      <c r="C3581" s="610" t="s">
        <v>681</v>
      </c>
      <c r="D3581" s="610" t="s">
        <v>746</v>
      </c>
      <c r="E3581" s="610" t="s">
        <v>379</v>
      </c>
      <c r="F3581" s="610" t="s">
        <v>379</v>
      </c>
      <c r="G3581" s="614">
        <v>0</v>
      </c>
      <c r="H3581" s="611"/>
    </row>
    <row r="3582" spans="1:8" ht="15.75">
      <c r="A3582" s="608" t="s">
        <v>653</v>
      </c>
      <c r="B3582" s="613" t="s">
        <v>654</v>
      </c>
      <c r="C3582" s="610" t="s">
        <v>817</v>
      </c>
      <c r="D3582" s="610" t="s">
        <v>815</v>
      </c>
      <c r="E3582" s="610" t="s">
        <v>379</v>
      </c>
      <c r="F3582" s="610" t="s">
        <v>379</v>
      </c>
      <c r="G3582" s="614">
        <v>0</v>
      </c>
      <c r="H3582" s="611"/>
    </row>
    <row r="3583" spans="1:8" ht="12.75" customHeight="1">
      <c r="A3583" s="608">
        <v>4</v>
      </c>
      <c r="B3583" s="706" t="s">
        <v>656</v>
      </c>
      <c r="C3583" s="706"/>
      <c r="D3583" s="706"/>
      <c r="E3583" s="706"/>
      <c r="F3583" s="706"/>
      <c r="G3583" s="706"/>
      <c r="H3583" s="706"/>
    </row>
    <row r="3584" spans="1:8" ht="31.5">
      <c r="A3584" s="608" t="s">
        <v>657</v>
      </c>
      <c r="B3584" s="612" t="s">
        <v>658</v>
      </c>
      <c r="C3584" s="610" t="s">
        <v>379</v>
      </c>
      <c r="D3584" s="610" t="s">
        <v>379</v>
      </c>
      <c r="E3584" s="610" t="s">
        <v>379</v>
      </c>
      <c r="F3584" s="610" t="s">
        <v>379</v>
      </c>
      <c r="G3584" s="610" t="s">
        <v>379</v>
      </c>
      <c r="H3584" s="611" t="s">
        <v>626</v>
      </c>
    </row>
    <row r="3585" spans="1:8" ht="47.25">
      <c r="A3585" s="608" t="s">
        <v>659</v>
      </c>
      <c r="B3585" s="612" t="s">
        <v>660</v>
      </c>
      <c r="C3585" s="610" t="s">
        <v>379</v>
      </c>
      <c r="D3585" s="610" t="s">
        <v>379</v>
      </c>
      <c r="E3585" s="610" t="s">
        <v>379</v>
      </c>
      <c r="F3585" s="610" t="s">
        <v>379</v>
      </c>
      <c r="G3585" s="610" t="s">
        <v>379</v>
      </c>
      <c r="H3585" s="611" t="s">
        <v>626</v>
      </c>
    </row>
    <row r="3586" spans="1:8" ht="31.5">
      <c r="A3586" s="608" t="s">
        <v>661</v>
      </c>
      <c r="B3586" s="613" t="s">
        <v>662</v>
      </c>
      <c r="C3586" s="610" t="s">
        <v>379</v>
      </c>
      <c r="D3586" s="610" t="s">
        <v>379</v>
      </c>
      <c r="E3586" s="610" t="s">
        <v>379</v>
      </c>
      <c r="F3586" s="610" t="s">
        <v>379</v>
      </c>
      <c r="G3586" s="610" t="s">
        <v>379</v>
      </c>
      <c r="H3586" s="611" t="s">
        <v>626</v>
      </c>
    </row>
    <row r="3587" spans="1:8" ht="31.5">
      <c r="A3587" s="615" t="s">
        <v>663</v>
      </c>
      <c r="B3587" s="616" t="s">
        <v>664</v>
      </c>
      <c r="C3587" s="617" t="s">
        <v>379</v>
      </c>
      <c r="D3587" s="617" t="s">
        <v>379</v>
      </c>
      <c r="E3587" s="617" t="s">
        <v>379</v>
      </c>
      <c r="F3587" s="617" t="s">
        <v>379</v>
      </c>
      <c r="G3587" s="617" t="s">
        <v>379</v>
      </c>
      <c r="H3587" s="618" t="s">
        <v>626</v>
      </c>
    </row>
    <row r="3588" spans="1:8" ht="15.75">
      <c r="A3588" s="619"/>
      <c r="B3588" s="620"/>
      <c r="C3588" s="621"/>
      <c r="D3588" s="621"/>
      <c r="E3588" s="621"/>
      <c r="F3588" s="621"/>
      <c r="G3588" s="621"/>
      <c r="H3588" s="148"/>
    </row>
    <row r="3589" spans="1:8" ht="12.75" customHeight="1">
      <c r="A3589" s="707" t="s">
        <v>665</v>
      </c>
      <c r="B3589" s="707"/>
      <c r="C3589" s="707"/>
      <c r="D3589" s="707"/>
      <c r="E3589" s="707"/>
      <c r="F3589" s="707"/>
      <c r="G3589" s="707"/>
      <c r="H3589" s="707"/>
    </row>
    <row r="3590" spans="1:8" ht="15.75">
      <c r="A3590" s="622"/>
      <c r="B3590" s="622"/>
      <c r="C3590" s="622"/>
      <c r="D3590" s="622"/>
      <c r="E3590" s="622"/>
      <c r="F3590" s="622"/>
      <c r="G3590" s="622"/>
      <c r="H3590" s="622"/>
    </row>
    <row r="3591" spans="1:8" ht="15.75">
      <c r="A3591" s="622"/>
      <c r="B3591" s="622"/>
      <c r="C3591" s="622"/>
      <c r="D3591" s="622"/>
      <c r="E3591" s="622"/>
      <c r="F3591" s="622"/>
      <c r="G3591" s="622"/>
      <c r="H3591" s="622"/>
    </row>
    <row r="3592" spans="1:8" ht="15.75">
      <c r="A3592" s="622"/>
      <c r="B3592" s="622"/>
      <c r="C3592" s="622"/>
      <c r="D3592" s="622"/>
      <c r="E3592" s="622"/>
      <c r="F3592" s="622"/>
      <c r="G3592" s="622"/>
      <c r="H3592" s="622"/>
    </row>
    <row r="3593" spans="1:8" ht="15.75">
      <c r="A3593" s="622"/>
      <c r="B3593" s="622"/>
      <c r="C3593" s="622"/>
      <c r="D3593" s="622"/>
      <c r="E3593" s="622"/>
      <c r="F3593" s="622"/>
      <c r="G3593" s="622"/>
      <c r="H3593" s="622"/>
    </row>
    <row r="3594" ht="15.75">
      <c r="H3594" s="11" t="s">
        <v>609</v>
      </c>
    </row>
    <row r="3595" ht="15.75">
      <c r="H3595" s="11" t="s">
        <v>610</v>
      </c>
    </row>
    <row r="3596" ht="15.75">
      <c r="H3596" s="11" t="s">
        <v>611</v>
      </c>
    </row>
    <row r="3597" ht="15.75">
      <c r="H3597" s="11"/>
    </row>
    <row r="3598" spans="1:8" ht="12.75" customHeight="1">
      <c r="A3598" s="713" t="s">
        <v>612</v>
      </c>
      <c r="B3598" s="713"/>
      <c r="C3598" s="713"/>
      <c r="D3598" s="713"/>
      <c r="E3598" s="713"/>
      <c r="F3598" s="713"/>
      <c r="G3598" s="713"/>
      <c r="H3598" s="713"/>
    </row>
    <row r="3599" spans="1:8" ht="12.75" customHeight="1">
      <c r="A3599" s="713" t="s">
        <v>613</v>
      </c>
      <c r="B3599" s="713"/>
      <c r="C3599" s="713"/>
      <c r="D3599" s="713"/>
      <c r="E3599" s="713"/>
      <c r="F3599" s="713"/>
      <c r="G3599" s="713"/>
      <c r="H3599" s="713"/>
    </row>
    <row r="3600" ht="15.75">
      <c r="H3600" s="11" t="s">
        <v>43</v>
      </c>
    </row>
    <row r="3601" ht="15.75">
      <c r="H3601" s="11" t="s">
        <v>44</v>
      </c>
    </row>
    <row r="3602" ht="15.75">
      <c r="H3602" s="11" t="s">
        <v>45</v>
      </c>
    </row>
    <row r="3603" ht="15.75">
      <c r="H3603" s="594" t="s">
        <v>614</v>
      </c>
    </row>
    <row r="3604" ht="15.75">
      <c r="H3604" s="11" t="s">
        <v>615</v>
      </c>
    </row>
    <row r="3605" ht="15.75">
      <c r="H3605" s="11" t="s">
        <v>47</v>
      </c>
    </row>
    <row r="3606" ht="15.75">
      <c r="A3606" s="595"/>
    </row>
    <row r="3607" ht="15.75">
      <c r="A3607" s="3" t="s">
        <v>818</v>
      </c>
    </row>
    <row r="3608" spans="1:8" ht="12.75" customHeight="1">
      <c r="A3608" s="717" t="s">
        <v>0</v>
      </c>
      <c r="B3608" s="714"/>
      <c r="C3608" s="714"/>
      <c r="D3608" s="714"/>
      <c r="E3608" s="714"/>
      <c r="F3608" s="714"/>
      <c r="G3608" s="714"/>
      <c r="H3608" s="714"/>
    </row>
    <row r="3609" spans="1:8" ht="16.5" thickBot="1">
      <c r="A3609" s="597"/>
      <c r="B3609" s="597"/>
      <c r="C3609" s="598"/>
      <c r="D3609" s="598"/>
      <c r="E3609" s="598"/>
      <c r="F3609" s="598"/>
      <c r="G3609" s="598"/>
      <c r="H3609" s="598"/>
    </row>
    <row r="3610" spans="1:8" ht="12.75" customHeight="1">
      <c r="A3610" s="708" t="s">
        <v>617</v>
      </c>
      <c r="B3610" s="710" t="s">
        <v>618</v>
      </c>
      <c r="C3610" s="711" t="s">
        <v>619</v>
      </c>
      <c r="D3610" s="711"/>
      <c r="E3610" s="711"/>
      <c r="F3610" s="711"/>
      <c r="G3610" s="712" t="s">
        <v>620</v>
      </c>
      <c r="H3610" s="708" t="s">
        <v>621</v>
      </c>
    </row>
    <row r="3611" spans="1:8" ht="15.75">
      <c r="A3611" s="708"/>
      <c r="B3611" s="710"/>
      <c r="C3611" s="711"/>
      <c r="D3611" s="711"/>
      <c r="E3611" s="711"/>
      <c r="F3611" s="711"/>
      <c r="G3611" s="712"/>
      <c r="H3611" s="708"/>
    </row>
    <row r="3612" spans="1:8" ht="31.5">
      <c r="A3612" s="708"/>
      <c r="B3612" s="710"/>
      <c r="C3612" s="601" t="s">
        <v>622</v>
      </c>
      <c r="D3612" s="601" t="s">
        <v>623</v>
      </c>
      <c r="E3612" s="602" t="s">
        <v>622</v>
      </c>
      <c r="F3612" s="603" t="s">
        <v>623</v>
      </c>
      <c r="G3612" s="712"/>
      <c r="H3612" s="708"/>
    </row>
    <row r="3613" spans="1:8" ht="15.75">
      <c r="A3613" s="599">
        <v>1</v>
      </c>
      <c r="B3613" s="599">
        <v>2</v>
      </c>
      <c r="C3613" s="604">
        <v>3</v>
      </c>
      <c r="D3613" s="604">
        <v>4</v>
      </c>
      <c r="E3613" s="605"/>
      <c r="F3613" s="606"/>
      <c r="G3613" s="600">
        <v>5</v>
      </c>
      <c r="H3613" s="599">
        <v>6</v>
      </c>
    </row>
    <row r="3614" spans="1:8" ht="12.75" customHeight="1">
      <c r="A3614" s="607">
        <v>1</v>
      </c>
      <c r="B3614" s="709" t="s">
        <v>624</v>
      </c>
      <c r="C3614" s="709"/>
      <c r="D3614" s="709"/>
      <c r="E3614" s="709"/>
      <c r="F3614" s="709"/>
      <c r="G3614" s="709"/>
      <c r="H3614" s="709"/>
    </row>
    <row r="3615" spans="1:8" ht="15.75">
      <c r="A3615" s="608" t="s">
        <v>74</v>
      </c>
      <c r="B3615" s="609" t="s">
        <v>625</v>
      </c>
      <c r="C3615" s="610" t="s">
        <v>379</v>
      </c>
      <c r="D3615" s="610" t="s">
        <v>379</v>
      </c>
      <c r="E3615" s="610" t="s">
        <v>379</v>
      </c>
      <c r="F3615" s="610" t="s">
        <v>379</v>
      </c>
      <c r="G3615" s="610" t="s">
        <v>379</v>
      </c>
      <c r="H3615" s="611" t="s">
        <v>626</v>
      </c>
    </row>
    <row r="3616" spans="1:8" ht="15.75">
      <c r="A3616" s="608" t="s">
        <v>313</v>
      </c>
      <c r="B3616" s="609" t="s">
        <v>627</v>
      </c>
      <c r="C3616" s="610" t="s">
        <v>379</v>
      </c>
      <c r="D3616" s="610" t="s">
        <v>379</v>
      </c>
      <c r="E3616" s="610" t="s">
        <v>379</v>
      </c>
      <c r="F3616" s="610" t="s">
        <v>379</v>
      </c>
      <c r="G3616" s="610" t="s">
        <v>379</v>
      </c>
      <c r="H3616" s="611" t="s">
        <v>626</v>
      </c>
    </row>
    <row r="3617" spans="1:8" ht="31.5">
      <c r="A3617" s="608" t="s">
        <v>315</v>
      </c>
      <c r="B3617" s="612" t="s">
        <v>628</v>
      </c>
      <c r="C3617" s="610" t="s">
        <v>379</v>
      </c>
      <c r="D3617" s="610" t="s">
        <v>379</v>
      </c>
      <c r="E3617" s="610" t="s">
        <v>379</v>
      </c>
      <c r="F3617" s="610" t="s">
        <v>379</v>
      </c>
      <c r="G3617" s="610" t="s">
        <v>379</v>
      </c>
      <c r="H3617" s="611" t="s">
        <v>626</v>
      </c>
    </row>
    <row r="3618" spans="1:8" ht="47.25">
      <c r="A3618" s="608" t="s">
        <v>317</v>
      </c>
      <c r="B3618" s="612" t="s">
        <v>629</v>
      </c>
      <c r="C3618" s="610" t="s">
        <v>379</v>
      </c>
      <c r="D3618" s="610" t="s">
        <v>379</v>
      </c>
      <c r="E3618" s="610" t="s">
        <v>379</v>
      </c>
      <c r="F3618" s="610" t="s">
        <v>379</v>
      </c>
      <c r="G3618" s="610" t="s">
        <v>379</v>
      </c>
      <c r="H3618" s="611" t="s">
        <v>626</v>
      </c>
    </row>
    <row r="3619" spans="1:8" ht="15.75">
      <c r="A3619" s="608" t="s">
        <v>630</v>
      </c>
      <c r="B3619" s="613" t="s">
        <v>631</v>
      </c>
      <c r="C3619" s="610" t="s">
        <v>379</v>
      </c>
      <c r="D3619" s="610" t="s">
        <v>379</v>
      </c>
      <c r="E3619" s="610" t="s">
        <v>379</v>
      </c>
      <c r="F3619" s="610" t="s">
        <v>379</v>
      </c>
      <c r="G3619" s="610" t="s">
        <v>379</v>
      </c>
      <c r="H3619" s="611" t="s">
        <v>626</v>
      </c>
    </row>
    <row r="3620" spans="1:8" ht="15.75">
      <c r="A3620" s="608" t="s">
        <v>632</v>
      </c>
      <c r="B3620" s="613" t="s">
        <v>633</v>
      </c>
      <c r="C3620" s="610" t="s">
        <v>379</v>
      </c>
      <c r="D3620" s="610" t="s">
        <v>379</v>
      </c>
      <c r="E3620" s="610" t="s">
        <v>379</v>
      </c>
      <c r="F3620" s="610" t="s">
        <v>379</v>
      </c>
      <c r="G3620" s="610" t="s">
        <v>379</v>
      </c>
      <c r="H3620" s="611" t="s">
        <v>626</v>
      </c>
    </row>
    <row r="3621" spans="1:8" ht="12.75" customHeight="1">
      <c r="A3621" s="608">
        <v>2</v>
      </c>
      <c r="B3621" s="706" t="s">
        <v>634</v>
      </c>
      <c r="C3621" s="706"/>
      <c r="D3621" s="706"/>
      <c r="E3621" s="706"/>
      <c r="F3621" s="706"/>
      <c r="G3621" s="706"/>
      <c r="H3621" s="706"/>
    </row>
    <row r="3622" spans="1:8" ht="31.5">
      <c r="A3622" s="608" t="s">
        <v>321</v>
      </c>
      <c r="B3622" s="612" t="s">
        <v>635</v>
      </c>
      <c r="C3622" s="610" t="s">
        <v>710</v>
      </c>
      <c r="D3622" s="610" t="s">
        <v>819</v>
      </c>
      <c r="E3622" s="610" t="s">
        <v>379</v>
      </c>
      <c r="F3622" s="610" t="s">
        <v>379</v>
      </c>
      <c r="G3622" s="614">
        <v>0</v>
      </c>
      <c r="H3622" s="611"/>
    </row>
    <row r="3623" spans="1:8" ht="47.25">
      <c r="A3623" s="608" t="s">
        <v>325</v>
      </c>
      <c r="B3623" s="612" t="s">
        <v>638</v>
      </c>
      <c r="C3623" s="610" t="s">
        <v>379</v>
      </c>
      <c r="D3623" s="610" t="s">
        <v>379</v>
      </c>
      <c r="E3623" s="610" t="s">
        <v>379</v>
      </c>
      <c r="F3623" s="610" t="s">
        <v>379</v>
      </c>
      <c r="G3623" s="610" t="s">
        <v>379</v>
      </c>
      <c r="H3623" s="611" t="s">
        <v>626</v>
      </c>
    </row>
    <row r="3624" spans="1:8" ht="31.5">
      <c r="A3624" s="608" t="s">
        <v>639</v>
      </c>
      <c r="B3624" s="612" t="s">
        <v>640</v>
      </c>
      <c r="C3624" s="610" t="s">
        <v>379</v>
      </c>
      <c r="D3624" s="610" t="s">
        <v>379</v>
      </c>
      <c r="E3624" s="610" t="s">
        <v>379</v>
      </c>
      <c r="F3624" s="610" t="s">
        <v>379</v>
      </c>
      <c r="G3624" s="610" t="s">
        <v>379</v>
      </c>
      <c r="H3624" s="611" t="s">
        <v>626</v>
      </c>
    </row>
    <row r="3625" spans="1:8" ht="12.75" customHeight="1">
      <c r="A3625" s="608">
        <v>3</v>
      </c>
      <c r="B3625" s="706" t="s">
        <v>641</v>
      </c>
      <c r="C3625" s="706"/>
      <c r="D3625" s="706"/>
      <c r="E3625" s="706"/>
      <c r="F3625" s="706"/>
      <c r="G3625" s="706"/>
      <c r="H3625" s="706"/>
    </row>
    <row r="3626" spans="1:8" ht="31.5">
      <c r="A3626" s="608" t="s">
        <v>378</v>
      </c>
      <c r="B3626" s="613" t="s">
        <v>642</v>
      </c>
      <c r="C3626" s="610" t="s">
        <v>379</v>
      </c>
      <c r="D3626" s="610" t="s">
        <v>379</v>
      </c>
      <c r="E3626" s="610" t="s">
        <v>379</v>
      </c>
      <c r="F3626" s="610" t="s">
        <v>379</v>
      </c>
      <c r="G3626" s="610" t="s">
        <v>379</v>
      </c>
      <c r="H3626" s="611" t="s">
        <v>626</v>
      </c>
    </row>
    <row r="3627" spans="1:8" ht="15.75">
      <c r="A3627" s="608" t="s">
        <v>643</v>
      </c>
      <c r="B3627" s="613" t="s">
        <v>644</v>
      </c>
      <c r="C3627" s="610" t="s">
        <v>710</v>
      </c>
      <c r="D3627" s="610" t="s">
        <v>637</v>
      </c>
      <c r="E3627" s="610" t="s">
        <v>379</v>
      </c>
      <c r="F3627" s="610" t="s">
        <v>379</v>
      </c>
      <c r="G3627" s="614">
        <v>0</v>
      </c>
      <c r="H3627" s="611"/>
    </row>
    <row r="3628" spans="1:8" ht="15.75">
      <c r="A3628" s="608" t="s">
        <v>380</v>
      </c>
      <c r="B3628" s="613" t="s">
        <v>646</v>
      </c>
      <c r="C3628" s="610" t="s">
        <v>713</v>
      </c>
      <c r="D3628" s="610" t="s">
        <v>668</v>
      </c>
      <c r="E3628" s="610" t="s">
        <v>379</v>
      </c>
      <c r="F3628" s="610" t="s">
        <v>379</v>
      </c>
      <c r="G3628" s="614">
        <v>0</v>
      </c>
      <c r="H3628" s="611"/>
    </row>
    <row r="3629" spans="1:8" ht="15.75">
      <c r="A3629" s="608" t="s">
        <v>649</v>
      </c>
      <c r="B3629" s="613" t="s">
        <v>650</v>
      </c>
      <c r="C3629" s="610" t="s">
        <v>715</v>
      </c>
      <c r="D3629" s="610" t="s">
        <v>820</v>
      </c>
      <c r="E3629" s="610" t="s">
        <v>379</v>
      </c>
      <c r="F3629" s="610" t="s">
        <v>379</v>
      </c>
      <c r="G3629" s="614">
        <v>0</v>
      </c>
      <c r="H3629" s="611"/>
    </row>
    <row r="3630" spans="1:8" ht="15.75">
      <c r="A3630" s="608" t="s">
        <v>653</v>
      </c>
      <c r="B3630" s="613" t="s">
        <v>654</v>
      </c>
      <c r="C3630" s="610" t="s">
        <v>769</v>
      </c>
      <c r="D3630" s="610" t="s">
        <v>819</v>
      </c>
      <c r="E3630" s="610" t="s">
        <v>379</v>
      </c>
      <c r="F3630" s="610" t="s">
        <v>379</v>
      </c>
      <c r="G3630" s="614">
        <v>0</v>
      </c>
      <c r="H3630" s="611"/>
    </row>
    <row r="3631" spans="1:8" ht="12.75" customHeight="1">
      <c r="A3631" s="608">
        <v>4</v>
      </c>
      <c r="B3631" s="706" t="s">
        <v>656</v>
      </c>
      <c r="C3631" s="706"/>
      <c r="D3631" s="706"/>
      <c r="E3631" s="706"/>
      <c r="F3631" s="706"/>
      <c r="G3631" s="706"/>
      <c r="H3631" s="706"/>
    </row>
    <row r="3632" spans="1:8" ht="31.5">
      <c r="A3632" s="608" t="s">
        <v>657</v>
      </c>
      <c r="B3632" s="612" t="s">
        <v>658</v>
      </c>
      <c r="C3632" s="610" t="s">
        <v>379</v>
      </c>
      <c r="D3632" s="610" t="s">
        <v>379</v>
      </c>
      <c r="E3632" s="610" t="s">
        <v>379</v>
      </c>
      <c r="F3632" s="610" t="s">
        <v>379</v>
      </c>
      <c r="G3632" s="610" t="s">
        <v>379</v>
      </c>
      <c r="H3632" s="611" t="s">
        <v>626</v>
      </c>
    </row>
    <row r="3633" spans="1:8" ht="47.25">
      <c r="A3633" s="608" t="s">
        <v>659</v>
      </c>
      <c r="B3633" s="612" t="s">
        <v>660</v>
      </c>
      <c r="C3633" s="610" t="s">
        <v>379</v>
      </c>
      <c r="D3633" s="610" t="s">
        <v>379</v>
      </c>
      <c r="E3633" s="610" t="s">
        <v>379</v>
      </c>
      <c r="F3633" s="610" t="s">
        <v>379</v>
      </c>
      <c r="G3633" s="610" t="s">
        <v>379</v>
      </c>
      <c r="H3633" s="611" t="s">
        <v>626</v>
      </c>
    </row>
    <row r="3634" spans="1:8" ht="31.5">
      <c r="A3634" s="608" t="s">
        <v>661</v>
      </c>
      <c r="B3634" s="613" t="s">
        <v>662</v>
      </c>
      <c r="C3634" s="610" t="s">
        <v>379</v>
      </c>
      <c r="D3634" s="610" t="s">
        <v>379</v>
      </c>
      <c r="E3634" s="610" t="s">
        <v>379</v>
      </c>
      <c r="F3634" s="610" t="s">
        <v>379</v>
      </c>
      <c r="G3634" s="610" t="s">
        <v>379</v>
      </c>
      <c r="H3634" s="611" t="s">
        <v>626</v>
      </c>
    </row>
    <row r="3635" spans="1:8" ht="31.5">
      <c r="A3635" s="615" t="s">
        <v>663</v>
      </c>
      <c r="B3635" s="616" t="s">
        <v>664</v>
      </c>
      <c r="C3635" s="617" t="s">
        <v>379</v>
      </c>
      <c r="D3635" s="617" t="s">
        <v>379</v>
      </c>
      <c r="E3635" s="617" t="s">
        <v>379</v>
      </c>
      <c r="F3635" s="617" t="s">
        <v>379</v>
      </c>
      <c r="G3635" s="617" t="s">
        <v>379</v>
      </c>
      <c r="H3635" s="618" t="s">
        <v>626</v>
      </c>
    </row>
    <row r="3636" spans="1:8" ht="15.75">
      <c r="A3636" s="619"/>
      <c r="B3636" s="620"/>
      <c r="C3636" s="621"/>
      <c r="D3636" s="621"/>
      <c r="E3636" s="621"/>
      <c r="F3636" s="621"/>
      <c r="G3636" s="621"/>
      <c r="H3636" s="148"/>
    </row>
    <row r="3637" spans="1:8" ht="12.75" customHeight="1">
      <c r="A3637" s="707" t="s">
        <v>665</v>
      </c>
      <c r="B3637" s="707"/>
      <c r="C3637" s="707"/>
      <c r="D3637" s="707"/>
      <c r="E3637" s="707"/>
      <c r="F3637" s="707"/>
      <c r="G3637" s="707"/>
      <c r="H3637" s="707"/>
    </row>
    <row r="3638" spans="1:8" ht="15.75">
      <c r="A3638" s="622"/>
      <c r="B3638" s="622"/>
      <c r="C3638" s="622"/>
      <c r="D3638" s="622"/>
      <c r="E3638" s="622"/>
      <c r="F3638" s="622"/>
      <c r="G3638" s="622"/>
      <c r="H3638" s="622"/>
    </row>
    <row r="3639" spans="1:8" ht="15.75">
      <c r="A3639" s="622"/>
      <c r="B3639" s="622"/>
      <c r="C3639" s="622"/>
      <c r="D3639" s="622"/>
      <c r="E3639" s="622"/>
      <c r="F3639" s="622"/>
      <c r="G3639" s="622"/>
      <c r="H3639" s="622"/>
    </row>
    <row r="3640" spans="1:8" ht="15.75">
      <c r="A3640" s="622"/>
      <c r="B3640" s="622"/>
      <c r="C3640" s="622"/>
      <c r="D3640" s="622"/>
      <c r="E3640" s="622"/>
      <c r="F3640" s="622"/>
      <c r="G3640" s="622"/>
      <c r="H3640" s="622"/>
    </row>
    <row r="3641" spans="1:8" ht="15.75">
      <c r="A3641" s="622"/>
      <c r="B3641" s="622"/>
      <c r="C3641" s="622"/>
      <c r="D3641" s="622"/>
      <c r="E3641" s="622"/>
      <c r="F3641" s="622"/>
      <c r="G3641" s="622"/>
      <c r="H3641" s="622"/>
    </row>
    <row r="3642" spans="1:8" ht="15.75">
      <c r="A3642" s="622"/>
      <c r="B3642" s="622"/>
      <c r="C3642" s="622"/>
      <c r="D3642" s="622"/>
      <c r="E3642" s="622"/>
      <c r="F3642" s="622"/>
      <c r="G3642" s="622"/>
      <c r="H3642" s="622"/>
    </row>
    <row r="3643" ht="15.75">
      <c r="H3643" s="11" t="s">
        <v>609</v>
      </c>
    </row>
    <row r="3644" ht="15.75">
      <c r="H3644" s="11" t="s">
        <v>610</v>
      </c>
    </row>
    <row r="3645" ht="15.75">
      <c r="H3645" s="11" t="s">
        <v>611</v>
      </c>
    </row>
    <row r="3646" ht="15.75">
      <c r="H3646" s="11"/>
    </row>
    <row r="3647" spans="1:8" ht="12.75" customHeight="1">
      <c r="A3647" s="713" t="s">
        <v>612</v>
      </c>
      <c r="B3647" s="713"/>
      <c r="C3647" s="713"/>
      <c r="D3647" s="713"/>
      <c r="E3647" s="713"/>
      <c r="F3647" s="713"/>
      <c r="G3647" s="713"/>
      <c r="H3647" s="713"/>
    </row>
    <row r="3648" spans="1:8" ht="12.75" customHeight="1">
      <c r="A3648" s="713" t="s">
        <v>613</v>
      </c>
      <c r="B3648" s="713"/>
      <c r="C3648" s="713"/>
      <c r="D3648" s="713"/>
      <c r="E3648" s="713"/>
      <c r="F3648" s="713"/>
      <c r="G3648" s="713"/>
      <c r="H3648" s="713"/>
    </row>
    <row r="3649" ht="15.75">
      <c r="H3649" s="11" t="s">
        <v>43</v>
      </c>
    </row>
    <row r="3650" ht="15.75">
      <c r="H3650" s="11" t="s">
        <v>44</v>
      </c>
    </row>
    <row r="3651" ht="15.75">
      <c r="H3651" s="11" t="s">
        <v>45</v>
      </c>
    </row>
    <row r="3652" ht="15.75">
      <c r="H3652" s="594" t="s">
        <v>614</v>
      </c>
    </row>
    <row r="3653" ht="15.75">
      <c r="H3653" s="11" t="s">
        <v>615</v>
      </c>
    </row>
    <row r="3654" ht="15.75">
      <c r="H3654" s="11" t="s">
        <v>47</v>
      </c>
    </row>
    <row r="3655" ht="15.75">
      <c r="A3655" s="595"/>
    </row>
    <row r="3656" ht="15.75">
      <c r="A3656" s="3" t="s">
        <v>821</v>
      </c>
    </row>
    <row r="3657" spans="1:8" ht="12.75" customHeight="1">
      <c r="A3657" s="717" t="s">
        <v>0</v>
      </c>
      <c r="B3657" s="714"/>
      <c r="C3657" s="714"/>
      <c r="D3657" s="714"/>
      <c r="E3657" s="714"/>
      <c r="F3657" s="714"/>
      <c r="G3657" s="714"/>
      <c r="H3657" s="714"/>
    </row>
    <row r="3658" spans="1:8" ht="16.5" thickBot="1">
      <c r="A3658" s="597"/>
      <c r="B3658" s="597"/>
      <c r="C3658" s="598"/>
      <c r="D3658" s="598"/>
      <c r="E3658" s="598"/>
      <c r="F3658" s="598"/>
      <c r="G3658" s="598"/>
      <c r="H3658" s="598"/>
    </row>
    <row r="3659" spans="1:8" ht="12.75" customHeight="1">
      <c r="A3659" s="708" t="s">
        <v>617</v>
      </c>
      <c r="B3659" s="710" t="s">
        <v>618</v>
      </c>
      <c r="C3659" s="711" t="s">
        <v>619</v>
      </c>
      <c r="D3659" s="711"/>
      <c r="E3659" s="711"/>
      <c r="F3659" s="711"/>
      <c r="G3659" s="712" t="s">
        <v>620</v>
      </c>
      <c r="H3659" s="708" t="s">
        <v>621</v>
      </c>
    </row>
    <row r="3660" spans="1:8" ht="15.75">
      <c r="A3660" s="708"/>
      <c r="B3660" s="710"/>
      <c r="C3660" s="711"/>
      <c r="D3660" s="711"/>
      <c r="E3660" s="711"/>
      <c r="F3660" s="711"/>
      <c r="G3660" s="712"/>
      <c r="H3660" s="708"/>
    </row>
    <row r="3661" spans="1:8" ht="31.5">
      <c r="A3661" s="708"/>
      <c r="B3661" s="710"/>
      <c r="C3661" s="601" t="s">
        <v>622</v>
      </c>
      <c r="D3661" s="601" t="s">
        <v>623</v>
      </c>
      <c r="E3661" s="602" t="s">
        <v>622</v>
      </c>
      <c r="F3661" s="603" t="s">
        <v>623</v>
      </c>
      <c r="G3661" s="712"/>
      <c r="H3661" s="708"/>
    </row>
    <row r="3662" spans="1:8" ht="15.75">
      <c r="A3662" s="599">
        <v>1</v>
      </c>
      <c r="B3662" s="599">
        <v>2</v>
      </c>
      <c r="C3662" s="604">
        <v>3</v>
      </c>
      <c r="D3662" s="604">
        <v>4</v>
      </c>
      <c r="E3662" s="605"/>
      <c r="F3662" s="606"/>
      <c r="G3662" s="600">
        <v>5</v>
      </c>
      <c r="H3662" s="599">
        <v>6</v>
      </c>
    </row>
    <row r="3663" spans="1:8" ht="12.75" customHeight="1">
      <c r="A3663" s="607">
        <v>1</v>
      </c>
      <c r="B3663" s="709" t="s">
        <v>624</v>
      </c>
      <c r="C3663" s="709"/>
      <c r="D3663" s="709"/>
      <c r="E3663" s="709"/>
      <c r="F3663" s="709"/>
      <c r="G3663" s="709"/>
      <c r="H3663" s="709"/>
    </row>
    <row r="3664" spans="1:8" ht="15.75">
      <c r="A3664" s="608" t="s">
        <v>74</v>
      </c>
      <c r="B3664" s="609" t="s">
        <v>625</v>
      </c>
      <c r="C3664" s="610" t="s">
        <v>379</v>
      </c>
      <c r="D3664" s="610" t="s">
        <v>379</v>
      </c>
      <c r="E3664" s="610" t="s">
        <v>379</v>
      </c>
      <c r="F3664" s="610" t="s">
        <v>379</v>
      </c>
      <c r="G3664" s="610" t="s">
        <v>379</v>
      </c>
      <c r="H3664" s="611" t="s">
        <v>626</v>
      </c>
    </row>
    <row r="3665" spans="1:8" ht="15.75">
      <c r="A3665" s="608" t="s">
        <v>313</v>
      </c>
      <c r="B3665" s="609" t="s">
        <v>627</v>
      </c>
      <c r="C3665" s="610" t="s">
        <v>379</v>
      </c>
      <c r="D3665" s="610" t="s">
        <v>379</v>
      </c>
      <c r="E3665" s="610" t="s">
        <v>379</v>
      </c>
      <c r="F3665" s="610" t="s">
        <v>379</v>
      </c>
      <c r="G3665" s="610" t="s">
        <v>379</v>
      </c>
      <c r="H3665" s="611" t="s">
        <v>626</v>
      </c>
    </row>
    <row r="3666" spans="1:8" ht="31.5">
      <c r="A3666" s="608" t="s">
        <v>315</v>
      </c>
      <c r="B3666" s="612" t="s">
        <v>628</v>
      </c>
      <c r="C3666" s="610" t="s">
        <v>379</v>
      </c>
      <c r="D3666" s="610" t="s">
        <v>379</v>
      </c>
      <c r="E3666" s="610" t="s">
        <v>379</v>
      </c>
      <c r="F3666" s="610" t="s">
        <v>379</v>
      </c>
      <c r="G3666" s="610" t="s">
        <v>379</v>
      </c>
      <c r="H3666" s="611" t="s">
        <v>626</v>
      </c>
    </row>
    <row r="3667" spans="1:8" ht="47.25">
      <c r="A3667" s="608" t="s">
        <v>317</v>
      </c>
      <c r="B3667" s="612" t="s">
        <v>629</v>
      </c>
      <c r="C3667" s="610" t="s">
        <v>379</v>
      </c>
      <c r="D3667" s="610" t="s">
        <v>379</v>
      </c>
      <c r="E3667" s="610" t="s">
        <v>379</v>
      </c>
      <c r="F3667" s="610" t="s">
        <v>379</v>
      </c>
      <c r="G3667" s="610" t="s">
        <v>379</v>
      </c>
      <c r="H3667" s="611" t="s">
        <v>626</v>
      </c>
    </row>
    <row r="3668" spans="1:8" ht="15.75">
      <c r="A3668" s="608" t="s">
        <v>630</v>
      </c>
      <c r="B3668" s="613" t="s">
        <v>631</v>
      </c>
      <c r="C3668" s="610" t="s">
        <v>379</v>
      </c>
      <c r="D3668" s="610" t="s">
        <v>379</v>
      </c>
      <c r="E3668" s="610" t="s">
        <v>379</v>
      </c>
      <c r="F3668" s="610" t="s">
        <v>379</v>
      </c>
      <c r="G3668" s="610" t="s">
        <v>379</v>
      </c>
      <c r="H3668" s="611" t="s">
        <v>626</v>
      </c>
    </row>
    <row r="3669" spans="1:8" ht="15.75">
      <c r="A3669" s="608" t="s">
        <v>632</v>
      </c>
      <c r="B3669" s="613" t="s">
        <v>633</v>
      </c>
      <c r="C3669" s="610" t="s">
        <v>379</v>
      </c>
      <c r="D3669" s="610" t="s">
        <v>379</v>
      </c>
      <c r="E3669" s="610" t="s">
        <v>379</v>
      </c>
      <c r="F3669" s="610" t="s">
        <v>379</v>
      </c>
      <c r="G3669" s="610" t="s">
        <v>379</v>
      </c>
      <c r="H3669" s="611" t="s">
        <v>626</v>
      </c>
    </row>
    <row r="3670" spans="1:8" ht="12.75" customHeight="1">
      <c r="A3670" s="608">
        <v>2</v>
      </c>
      <c r="B3670" s="706" t="s">
        <v>634</v>
      </c>
      <c r="C3670" s="706"/>
      <c r="D3670" s="706"/>
      <c r="E3670" s="706"/>
      <c r="F3670" s="706"/>
      <c r="G3670" s="706"/>
      <c r="H3670" s="706"/>
    </row>
    <row r="3671" spans="1:8" ht="31.5">
      <c r="A3671" s="608" t="s">
        <v>321</v>
      </c>
      <c r="B3671" s="612" t="s">
        <v>635</v>
      </c>
      <c r="C3671" s="610" t="s">
        <v>710</v>
      </c>
      <c r="D3671" s="610" t="s">
        <v>819</v>
      </c>
      <c r="E3671" s="610" t="s">
        <v>379</v>
      </c>
      <c r="F3671" s="610" t="s">
        <v>379</v>
      </c>
      <c r="G3671" s="614">
        <v>0</v>
      </c>
      <c r="H3671" s="611"/>
    </row>
    <row r="3672" spans="1:8" ht="47.25">
      <c r="A3672" s="608" t="s">
        <v>325</v>
      </c>
      <c r="B3672" s="612" t="s">
        <v>638</v>
      </c>
      <c r="C3672" s="610" t="s">
        <v>379</v>
      </c>
      <c r="D3672" s="610" t="s">
        <v>379</v>
      </c>
      <c r="E3672" s="610" t="s">
        <v>379</v>
      </c>
      <c r="F3672" s="610" t="s">
        <v>379</v>
      </c>
      <c r="G3672" s="610" t="s">
        <v>379</v>
      </c>
      <c r="H3672" s="611" t="s">
        <v>626</v>
      </c>
    </row>
    <row r="3673" spans="1:8" ht="31.5">
      <c r="A3673" s="608" t="s">
        <v>639</v>
      </c>
      <c r="B3673" s="612" t="s">
        <v>640</v>
      </c>
      <c r="C3673" s="610" t="s">
        <v>379</v>
      </c>
      <c r="D3673" s="610" t="s">
        <v>379</v>
      </c>
      <c r="E3673" s="610" t="s">
        <v>379</v>
      </c>
      <c r="F3673" s="610" t="s">
        <v>379</v>
      </c>
      <c r="G3673" s="610" t="s">
        <v>379</v>
      </c>
      <c r="H3673" s="611" t="s">
        <v>626</v>
      </c>
    </row>
    <row r="3674" spans="1:8" ht="12.75" customHeight="1">
      <c r="A3674" s="608">
        <v>3</v>
      </c>
      <c r="B3674" s="706" t="s">
        <v>641</v>
      </c>
      <c r="C3674" s="706"/>
      <c r="D3674" s="706"/>
      <c r="E3674" s="706"/>
      <c r="F3674" s="706"/>
      <c r="G3674" s="706"/>
      <c r="H3674" s="706"/>
    </row>
    <row r="3675" spans="1:8" ht="31.5">
      <c r="A3675" s="608" t="s">
        <v>378</v>
      </c>
      <c r="B3675" s="613" t="s">
        <v>642</v>
      </c>
      <c r="C3675" s="610" t="s">
        <v>379</v>
      </c>
      <c r="D3675" s="610" t="s">
        <v>379</v>
      </c>
      <c r="E3675" s="610" t="s">
        <v>379</v>
      </c>
      <c r="F3675" s="610" t="s">
        <v>379</v>
      </c>
      <c r="G3675" s="610" t="s">
        <v>379</v>
      </c>
      <c r="H3675" s="611" t="s">
        <v>626</v>
      </c>
    </row>
    <row r="3676" spans="1:8" ht="15.75">
      <c r="A3676" s="608" t="s">
        <v>643</v>
      </c>
      <c r="B3676" s="613" t="s">
        <v>644</v>
      </c>
      <c r="C3676" s="610" t="s">
        <v>710</v>
      </c>
      <c r="D3676" s="610" t="s">
        <v>637</v>
      </c>
      <c r="E3676" s="610" t="s">
        <v>379</v>
      </c>
      <c r="F3676" s="610" t="s">
        <v>379</v>
      </c>
      <c r="G3676" s="614">
        <v>0</v>
      </c>
      <c r="H3676" s="611"/>
    </row>
    <row r="3677" spans="1:8" ht="15.75">
      <c r="A3677" s="608" t="s">
        <v>380</v>
      </c>
      <c r="B3677" s="613" t="s">
        <v>646</v>
      </c>
      <c r="C3677" s="610" t="s">
        <v>713</v>
      </c>
      <c r="D3677" s="610" t="s">
        <v>668</v>
      </c>
      <c r="E3677" s="610" t="s">
        <v>379</v>
      </c>
      <c r="F3677" s="610" t="s">
        <v>379</v>
      </c>
      <c r="G3677" s="614">
        <v>0</v>
      </c>
      <c r="H3677" s="611"/>
    </row>
    <row r="3678" spans="1:8" ht="15.75">
      <c r="A3678" s="608" t="s">
        <v>649</v>
      </c>
      <c r="B3678" s="613" t="s">
        <v>650</v>
      </c>
      <c r="C3678" s="610" t="s">
        <v>715</v>
      </c>
      <c r="D3678" s="610" t="s">
        <v>820</v>
      </c>
      <c r="E3678" s="610" t="s">
        <v>379</v>
      </c>
      <c r="F3678" s="610" t="s">
        <v>379</v>
      </c>
      <c r="G3678" s="614">
        <v>0</v>
      </c>
      <c r="H3678" s="611"/>
    </row>
    <row r="3679" spans="1:8" ht="15.75">
      <c r="A3679" s="608" t="s">
        <v>653</v>
      </c>
      <c r="B3679" s="613" t="s">
        <v>654</v>
      </c>
      <c r="C3679" s="610" t="s">
        <v>769</v>
      </c>
      <c r="D3679" s="610" t="s">
        <v>819</v>
      </c>
      <c r="E3679" s="610" t="s">
        <v>379</v>
      </c>
      <c r="F3679" s="610" t="s">
        <v>379</v>
      </c>
      <c r="G3679" s="614">
        <v>0</v>
      </c>
      <c r="H3679" s="611"/>
    </row>
    <row r="3680" spans="1:8" ht="12.75" customHeight="1">
      <c r="A3680" s="608">
        <v>4</v>
      </c>
      <c r="B3680" s="706" t="s">
        <v>656</v>
      </c>
      <c r="C3680" s="706"/>
      <c r="D3680" s="706"/>
      <c r="E3680" s="706"/>
      <c r="F3680" s="706"/>
      <c r="G3680" s="706"/>
      <c r="H3680" s="706"/>
    </row>
    <row r="3681" spans="1:8" ht="31.5">
      <c r="A3681" s="608" t="s">
        <v>657</v>
      </c>
      <c r="B3681" s="612" t="s">
        <v>658</v>
      </c>
      <c r="C3681" s="610" t="s">
        <v>379</v>
      </c>
      <c r="D3681" s="610" t="s">
        <v>379</v>
      </c>
      <c r="E3681" s="610" t="s">
        <v>379</v>
      </c>
      <c r="F3681" s="610" t="s">
        <v>379</v>
      </c>
      <c r="G3681" s="610" t="s">
        <v>379</v>
      </c>
      <c r="H3681" s="611" t="s">
        <v>626</v>
      </c>
    </row>
    <row r="3682" spans="1:8" ht="47.25">
      <c r="A3682" s="608" t="s">
        <v>659</v>
      </c>
      <c r="B3682" s="612" t="s">
        <v>660</v>
      </c>
      <c r="C3682" s="610" t="s">
        <v>379</v>
      </c>
      <c r="D3682" s="610" t="s">
        <v>379</v>
      </c>
      <c r="E3682" s="610" t="s">
        <v>379</v>
      </c>
      <c r="F3682" s="610" t="s">
        <v>379</v>
      </c>
      <c r="G3682" s="610" t="s">
        <v>379</v>
      </c>
      <c r="H3682" s="611" t="s">
        <v>626</v>
      </c>
    </row>
    <row r="3683" spans="1:8" ht="31.5">
      <c r="A3683" s="608" t="s">
        <v>661</v>
      </c>
      <c r="B3683" s="613" t="s">
        <v>662</v>
      </c>
      <c r="C3683" s="610" t="s">
        <v>379</v>
      </c>
      <c r="D3683" s="610" t="s">
        <v>379</v>
      </c>
      <c r="E3683" s="610" t="s">
        <v>379</v>
      </c>
      <c r="F3683" s="610" t="s">
        <v>379</v>
      </c>
      <c r="G3683" s="610" t="s">
        <v>379</v>
      </c>
      <c r="H3683" s="611" t="s">
        <v>626</v>
      </c>
    </row>
    <row r="3684" spans="1:8" ht="31.5">
      <c r="A3684" s="615" t="s">
        <v>663</v>
      </c>
      <c r="B3684" s="616" t="s">
        <v>664</v>
      </c>
      <c r="C3684" s="617" t="s">
        <v>379</v>
      </c>
      <c r="D3684" s="617" t="s">
        <v>379</v>
      </c>
      <c r="E3684" s="617" t="s">
        <v>379</v>
      </c>
      <c r="F3684" s="617" t="s">
        <v>379</v>
      </c>
      <c r="G3684" s="617" t="s">
        <v>379</v>
      </c>
      <c r="H3684" s="618" t="s">
        <v>626</v>
      </c>
    </row>
    <row r="3685" spans="1:8" ht="15.75">
      <c r="A3685" s="619"/>
      <c r="B3685" s="620"/>
      <c r="C3685" s="621"/>
      <c r="D3685" s="621"/>
      <c r="E3685" s="621"/>
      <c r="F3685" s="621"/>
      <c r="G3685" s="621"/>
      <c r="H3685" s="148"/>
    </row>
    <row r="3686" spans="1:8" ht="12.75" customHeight="1">
      <c r="A3686" s="707" t="s">
        <v>665</v>
      </c>
      <c r="B3686" s="707"/>
      <c r="C3686" s="707"/>
      <c r="D3686" s="707"/>
      <c r="E3686" s="707"/>
      <c r="F3686" s="707"/>
      <c r="G3686" s="707"/>
      <c r="H3686" s="707"/>
    </row>
    <row r="3687" spans="1:8" ht="15.75">
      <c r="A3687" s="622"/>
      <c r="B3687" s="622"/>
      <c r="C3687" s="622"/>
      <c r="D3687" s="622"/>
      <c r="E3687" s="622"/>
      <c r="F3687" s="622"/>
      <c r="G3687" s="622"/>
      <c r="H3687" s="622"/>
    </row>
    <row r="3688" spans="1:8" ht="15.75">
      <c r="A3688" s="622"/>
      <c r="B3688" s="622"/>
      <c r="C3688" s="622"/>
      <c r="D3688" s="622"/>
      <c r="E3688" s="622"/>
      <c r="F3688" s="622"/>
      <c r="G3688" s="622"/>
      <c r="H3688" s="622"/>
    </row>
    <row r="3689" spans="1:8" ht="15.75">
      <c r="A3689" s="622"/>
      <c r="B3689" s="622"/>
      <c r="C3689" s="622"/>
      <c r="D3689" s="622"/>
      <c r="E3689" s="622"/>
      <c r="F3689" s="622"/>
      <c r="G3689" s="622"/>
      <c r="H3689" s="622"/>
    </row>
    <row r="3690" spans="1:8" ht="15.75">
      <c r="A3690" s="622"/>
      <c r="B3690" s="622"/>
      <c r="C3690" s="622"/>
      <c r="D3690" s="622"/>
      <c r="E3690" s="622"/>
      <c r="F3690" s="622"/>
      <c r="G3690" s="622"/>
      <c r="H3690" s="622"/>
    </row>
    <row r="3691" ht="15.75">
      <c r="H3691" s="11" t="s">
        <v>609</v>
      </c>
    </row>
    <row r="3692" ht="15.75">
      <c r="H3692" s="11" t="s">
        <v>610</v>
      </c>
    </row>
    <row r="3693" ht="15.75">
      <c r="H3693" s="11" t="s">
        <v>611</v>
      </c>
    </row>
    <row r="3694" ht="15.75">
      <c r="H3694" s="11"/>
    </row>
    <row r="3695" spans="1:8" ht="12.75" customHeight="1">
      <c r="A3695" s="713" t="s">
        <v>612</v>
      </c>
      <c r="B3695" s="713"/>
      <c r="C3695" s="713"/>
      <c r="D3695" s="713"/>
      <c r="E3695" s="713"/>
      <c r="F3695" s="713"/>
      <c r="G3695" s="713"/>
      <c r="H3695" s="713"/>
    </row>
    <row r="3696" spans="1:8" ht="12.75" customHeight="1">
      <c r="A3696" s="713" t="s">
        <v>613</v>
      </c>
      <c r="B3696" s="713"/>
      <c r="C3696" s="713"/>
      <c r="D3696" s="713"/>
      <c r="E3696" s="713"/>
      <c r="F3696" s="713"/>
      <c r="G3696" s="713"/>
      <c r="H3696" s="713"/>
    </row>
    <row r="3697" ht="15.75">
      <c r="H3697" s="11" t="s">
        <v>43</v>
      </c>
    </row>
    <row r="3698" ht="15.75">
      <c r="H3698" s="11" t="s">
        <v>44</v>
      </c>
    </row>
    <row r="3699" ht="15.75">
      <c r="H3699" s="11" t="s">
        <v>45</v>
      </c>
    </row>
    <row r="3700" ht="15.75">
      <c r="H3700" s="594" t="s">
        <v>614</v>
      </c>
    </row>
    <row r="3701" ht="15.75">
      <c r="H3701" s="11" t="s">
        <v>615</v>
      </c>
    </row>
    <row r="3702" ht="15.75">
      <c r="H3702" s="11" t="s">
        <v>47</v>
      </c>
    </row>
    <row r="3703" ht="15.75">
      <c r="A3703" s="595"/>
    </row>
    <row r="3704" ht="15.75">
      <c r="A3704" s="3" t="s">
        <v>822</v>
      </c>
    </row>
    <row r="3705" spans="1:8" ht="12.75" customHeight="1">
      <c r="A3705" s="717" t="s">
        <v>0</v>
      </c>
      <c r="B3705" s="714"/>
      <c r="C3705" s="714"/>
      <c r="D3705" s="714"/>
      <c r="E3705" s="714"/>
      <c r="F3705" s="714"/>
      <c r="G3705" s="714"/>
      <c r="H3705" s="714"/>
    </row>
    <row r="3706" spans="1:8" ht="16.5" thickBot="1">
      <c r="A3706" s="597"/>
      <c r="B3706" s="597"/>
      <c r="C3706" s="598"/>
      <c r="D3706" s="598"/>
      <c r="E3706" s="598"/>
      <c r="F3706" s="598"/>
      <c r="G3706" s="598"/>
      <c r="H3706" s="598"/>
    </row>
    <row r="3707" spans="1:8" ht="12.75" customHeight="1">
      <c r="A3707" s="708" t="s">
        <v>617</v>
      </c>
      <c r="B3707" s="710" t="s">
        <v>618</v>
      </c>
      <c r="C3707" s="711" t="s">
        <v>619</v>
      </c>
      <c r="D3707" s="711"/>
      <c r="E3707" s="711"/>
      <c r="F3707" s="711"/>
      <c r="G3707" s="712" t="s">
        <v>620</v>
      </c>
      <c r="H3707" s="708" t="s">
        <v>621</v>
      </c>
    </row>
    <row r="3708" spans="1:8" ht="15.75">
      <c r="A3708" s="708"/>
      <c r="B3708" s="710"/>
      <c r="C3708" s="711"/>
      <c r="D3708" s="711"/>
      <c r="E3708" s="711"/>
      <c r="F3708" s="711"/>
      <c r="G3708" s="712"/>
      <c r="H3708" s="708"/>
    </row>
    <row r="3709" spans="1:8" ht="31.5">
      <c r="A3709" s="708"/>
      <c r="B3709" s="710"/>
      <c r="C3709" s="601" t="s">
        <v>622</v>
      </c>
      <c r="D3709" s="601" t="s">
        <v>623</v>
      </c>
      <c r="E3709" s="602" t="s">
        <v>622</v>
      </c>
      <c r="F3709" s="603" t="s">
        <v>623</v>
      </c>
      <c r="G3709" s="712"/>
      <c r="H3709" s="708"/>
    </row>
    <row r="3710" spans="1:8" ht="15.75">
      <c r="A3710" s="599">
        <v>1</v>
      </c>
      <c r="B3710" s="599">
        <v>2</v>
      </c>
      <c r="C3710" s="604">
        <v>3</v>
      </c>
      <c r="D3710" s="604">
        <v>4</v>
      </c>
      <c r="E3710" s="605"/>
      <c r="F3710" s="606"/>
      <c r="G3710" s="600">
        <v>5</v>
      </c>
      <c r="H3710" s="599">
        <v>6</v>
      </c>
    </row>
    <row r="3711" spans="1:8" ht="12.75" customHeight="1">
      <c r="A3711" s="607">
        <v>1</v>
      </c>
      <c r="B3711" s="709" t="s">
        <v>624</v>
      </c>
      <c r="C3711" s="709"/>
      <c r="D3711" s="709"/>
      <c r="E3711" s="709"/>
      <c r="F3711" s="709"/>
      <c r="G3711" s="709"/>
      <c r="H3711" s="709"/>
    </row>
    <row r="3712" spans="1:8" ht="15.75">
      <c r="A3712" s="608" t="s">
        <v>74</v>
      </c>
      <c r="B3712" s="609" t="s">
        <v>625</v>
      </c>
      <c r="C3712" s="610" t="s">
        <v>379</v>
      </c>
      <c r="D3712" s="610" t="s">
        <v>379</v>
      </c>
      <c r="E3712" s="610" t="s">
        <v>379</v>
      </c>
      <c r="F3712" s="610" t="s">
        <v>379</v>
      </c>
      <c r="G3712" s="610" t="s">
        <v>379</v>
      </c>
      <c r="H3712" s="611" t="s">
        <v>626</v>
      </c>
    </row>
    <row r="3713" spans="1:8" ht="15.75">
      <c r="A3713" s="608" t="s">
        <v>313</v>
      </c>
      <c r="B3713" s="609" t="s">
        <v>627</v>
      </c>
      <c r="C3713" s="610" t="s">
        <v>379</v>
      </c>
      <c r="D3713" s="610" t="s">
        <v>379</v>
      </c>
      <c r="E3713" s="610" t="s">
        <v>379</v>
      </c>
      <c r="F3713" s="610" t="s">
        <v>379</v>
      </c>
      <c r="G3713" s="610" t="s">
        <v>379</v>
      </c>
      <c r="H3713" s="611" t="s">
        <v>626</v>
      </c>
    </row>
    <row r="3714" spans="1:8" ht="31.5">
      <c r="A3714" s="608" t="s">
        <v>315</v>
      </c>
      <c r="B3714" s="612" t="s">
        <v>628</v>
      </c>
      <c r="C3714" s="610" t="s">
        <v>379</v>
      </c>
      <c r="D3714" s="610" t="s">
        <v>379</v>
      </c>
      <c r="E3714" s="610" t="s">
        <v>379</v>
      </c>
      <c r="F3714" s="610" t="s">
        <v>379</v>
      </c>
      <c r="G3714" s="610" t="s">
        <v>379</v>
      </c>
      <c r="H3714" s="611" t="s">
        <v>626</v>
      </c>
    </row>
    <row r="3715" spans="1:8" ht="47.25">
      <c r="A3715" s="608" t="s">
        <v>317</v>
      </c>
      <c r="B3715" s="612" t="s">
        <v>629</v>
      </c>
      <c r="C3715" s="610" t="s">
        <v>379</v>
      </c>
      <c r="D3715" s="610" t="s">
        <v>379</v>
      </c>
      <c r="E3715" s="610" t="s">
        <v>379</v>
      </c>
      <c r="F3715" s="610" t="s">
        <v>379</v>
      </c>
      <c r="G3715" s="610" t="s">
        <v>379</v>
      </c>
      <c r="H3715" s="611" t="s">
        <v>626</v>
      </c>
    </row>
    <row r="3716" spans="1:8" ht="15.75">
      <c r="A3716" s="608" t="s">
        <v>630</v>
      </c>
      <c r="B3716" s="613" t="s">
        <v>631</v>
      </c>
      <c r="C3716" s="610" t="s">
        <v>379</v>
      </c>
      <c r="D3716" s="610" t="s">
        <v>379</v>
      </c>
      <c r="E3716" s="610" t="s">
        <v>379</v>
      </c>
      <c r="F3716" s="610" t="s">
        <v>379</v>
      </c>
      <c r="G3716" s="610" t="s">
        <v>379</v>
      </c>
      <c r="H3716" s="611" t="s">
        <v>626</v>
      </c>
    </row>
    <row r="3717" spans="1:8" ht="15.75">
      <c r="A3717" s="608" t="s">
        <v>632</v>
      </c>
      <c r="B3717" s="613" t="s">
        <v>633</v>
      </c>
      <c r="C3717" s="610" t="s">
        <v>379</v>
      </c>
      <c r="D3717" s="610" t="s">
        <v>379</v>
      </c>
      <c r="E3717" s="610" t="s">
        <v>379</v>
      </c>
      <c r="F3717" s="610" t="s">
        <v>379</v>
      </c>
      <c r="G3717" s="610" t="s">
        <v>379</v>
      </c>
      <c r="H3717" s="611" t="s">
        <v>626</v>
      </c>
    </row>
    <row r="3718" spans="1:8" ht="12.75" customHeight="1">
      <c r="A3718" s="608">
        <v>2</v>
      </c>
      <c r="B3718" s="706" t="s">
        <v>634</v>
      </c>
      <c r="C3718" s="706"/>
      <c r="D3718" s="706"/>
      <c r="E3718" s="706"/>
      <c r="F3718" s="706"/>
      <c r="G3718" s="706"/>
      <c r="H3718" s="706"/>
    </row>
    <row r="3719" spans="1:8" ht="31.5">
      <c r="A3719" s="608" t="s">
        <v>321</v>
      </c>
      <c r="B3719" s="612" t="s">
        <v>635</v>
      </c>
      <c r="C3719" s="610" t="s">
        <v>710</v>
      </c>
      <c r="D3719" s="610" t="s">
        <v>711</v>
      </c>
      <c r="E3719" s="610" t="s">
        <v>379</v>
      </c>
      <c r="F3719" s="610" t="s">
        <v>379</v>
      </c>
      <c r="G3719" s="614">
        <v>0</v>
      </c>
      <c r="H3719" s="611"/>
    </row>
    <row r="3720" spans="1:8" ht="47.25">
      <c r="A3720" s="608" t="s">
        <v>325</v>
      </c>
      <c r="B3720" s="612" t="s">
        <v>638</v>
      </c>
      <c r="C3720" s="610" t="s">
        <v>379</v>
      </c>
      <c r="D3720" s="610" t="s">
        <v>379</v>
      </c>
      <c r="E3720" s="610" t="s">
        <v>379</v>
      </c>
      <c r="F3720" s="610" t="s">
        <v>379</v>
      </c>
      <c r="G3720" s="610" t="s">
        <v>379</v>
      </c>
      <c r="H3720" s="611" t="s">
        <v>626</v>
      </c>
    </row>
    <row r="3721" spans="1:8" ht="31.5">
      <c r="A3721" s="608" t="s">
        <v>639</v>
      </c>
      <c r="B3721" s="612" t="s">
        <v>640</v>
      </c>
      <c r="C3721" s="610" t="s">
        <v>379</v>
      </c>
      <c r="D3721" s="610" t="s">
        <v>379</v>
      </c>
      <c r="E3721" s="610" t="s">
        <v>379</v>
      </c>
      <c r="F3721" s="610" t="s">
        <v>379</v>
      </c>
      <c r="G3721" s="610" t="s">
        <v>379</v>
      </c>
      <c r="H3721" s="611" t="s">
        <v>626</v>
      </c>
    </row>
    <row r="3722" spans="1:8" ht="12.75" customHeight="1">
      <c r="A3722" s="608">
        <v>3</v>
      </c>
      <c r="B3722" s="706" t="s">
        <v>641</v>
      </c>
      <c r="C3722" s="706"/>
      <c r="D3722" s="706"/>
      <c r="E3722" s="706"/>
      <c r="F3722" s="706"/>
      <c r="G3722" s="706"/>
      <c r="H3722" s="706"/>
    </row>
    <row r="3723" spans="1:8" ht="31.5">
      <c r="A3723" s="608" t="s">
        <v>378</v>
      </c>
      <c r="B3723" s="613" t="s">
        <v>642</v>
      </c>
      <c r="C3723" s="610" t="s">
        <v>379</v>
      </c>
      <c r="D3723" s="610" t="s">
        <v>379</v>
      </c>
      <c r="E3723" s="610" t="s">
        <v>379</v>
      </c>
      <c r="F3723" s="610" t="s">
        <v>379</v>
      </c>
      <c r="G3723" s="610" t="s">
        <v>379</v>
      </c>
      <c r="H3723" s="611" t="s">
        <v>626</v>
      </c>
    </row>
    <row r="3724" spans="1:8" ht="15.75">
      <c r="A3724" s="608" t="s">
        <v>643</v>
      </c>
      <c r="B3724" s="613" t="s">
        <v>644</v>
      </c>
      <c r="C3724" s="610" t="s">
        <v>710</v>
      </c>
      <c r="D3724" s="610" t="s">
        <v>712</v>
      </c>
      <c r="E3724" s="610" t="s">
        <v>379</v>
      </c>
      <c r="F3724" s="610" t="s">
        <v>379</v>
      </c>
      <c r="G3724" s="614">
        <v>0</v>
      </c>
      <c r="H3724" s="611"/>
    </row>
    <row r="3725" spans="1:8" ht="15.75">
      <c r="A3725" s="608" t="s">
        <v>380</v>
      </c>
      <c r="B3725" s="613" t="s">
        <v>646</v>
      </c>
      <c r="C3725" s="610" t="s">
        <v>713</v>
      </c>
      <c r="D3725" s="610" t="s">
        <v>714</v>
      </c>
      <c r="E3725" s="610" t="s">
        <v>379</v>
      </c>
      <c r="F3725" s="610" t="s">
        <v>379</v>
      </c>
      <c r="G3725" s="614">
        <v>0</v>
      </c>
      <c r="H3725" s="611"/>
    </row>
    <row r="3726" spans="1:8" ht="15.75">
      <c r="A3726" s="608" t="s">
        <v>649</v>
      </c>
      <c r="B3726" s="613" t="s">
        <v>650</v>
      </c>
      <c r="C3726" s="610" t="s">
        <v>715</v>
      </c>
      <c r="D3726" s="610" t="s">
        <v>716</v>
      </c>
      <c r="E3726" s="610" t="s">
        <v>379</v>
      </c>
      <c r="F3726" s="610" t="s">
        <v>379</v>
      </c>
      <c r="G3726" s="614">
        <v>0</v>
      </c>
      <c r="H3726" s="611"/>
    </row>
    <row r="3727" spans="1:8" ht="15.75">
      <c r="A3727" s="608" t="s">
        <v>653</v>
      </c>
      <c r="B3727" s="613" t="s">
        <v>654</v>
      </c>
      <c r="C3727" s="610" t="s">
        <v>717</v>
      </c>
      <c r="D3727" s="610" t="s">
        <v>711</v>
      </c>
      <c r="E3727" s="610" t="s">
        <v>379</v>
      </c>
      <c r="F3727" s="610" t="s">
        <v>379</v>
      </c>
      <c r="G3727" s="614">
        <v>0</v>
      </c>
      <c r="H3727" s="611"/>
    </row>
    <row r="3728" spans="1:8" ht="12.75" customHeight="1">
      <c r="A3728" s="608">
        <v>4</v>
      </c>
      <c r="B3728" s="706" t="s">
        <v>656</v>
      </c>
      <c r="C3728" s="706"/>
      <c r="D3728" s="706"/>
      <c r="E3728" s="706"/>
      <c r="F3728" s="706"/>
      <c r="G3728" s="706"/>
      <c r="H3728" s="706"/>
    </row>
    <row r="3729" spans="1:8" ht="31.5">
      <c r="A3729" s="608" t="s">
        <v>657</v>
      </c>
      <c r="B3729" s="612" t="s">
        <v>658</v>
      </c>
      <c r="C3729" s="610" t="s">
        <v>379</v>
      </c>
      <c r="D3729" s="610" t="s">
        <v>379</v>
      </c>
      <c r="E3729" s="610" t="s">
        <v>379</v>
      </c>
      <c r="F3729" s="610" t="s">
        <v>379</v>
      </c>
      <c r="G3729" s="610" t="s">
        <v>379</v>
      </c>
      <c r="H3729" s="611" t="s">
        <v>626</v>
      </c>
    </row>
    <row r="3730" spans="1:8" ht="47.25">
      <c r="A3730" s="608" t="s">
        <v>659</v>
      </c>
      <c r="B3730" s="612" t="s">
        <v>660</v>
      </c>
      <c r="C3730" s="610" t="s">
        <v>379</v>
      </c>
      <c r="D3730" s="610" t="s">
        <v>379</v>
      </c>
      <c r="E3730" s="610" t="s">
        <v>379</v>
      </c>
      <c r="F3730" s="610" t="s">
        <v>379</v>
      </c>
      <c r="G3730" s="610" t="s">
        <v>379</v>
      </c>
      <c r="H3730" s="611" t="s">
        <v>626</v>
      </c>
    </row>
    <row r="3731" spans="1:8" ht="31.5">
      <c r="A3731" s="608" t="s">
        <v>661</v>
      </c>
      <c r="B3731" s="613" t="s">
        <v>662</v>
      </c>
      <c r="C3731" s="610" t="s">
        <v>379</v>
      </c>
      <c r="D3731" s="610" t="s">
        <v>379</v>
      </c>
      <c r="E3731" s="610" t="s">
        <v>379</v>
      </c>
      <c r="F3731" s="610" t="s">
        <v>379</v>
      </c>
      <c r="G3731" s="610" t="s">
        <v>379</v>
      </c>
      <c r="H3731" s="611" t="s">
        <v>626</v>
      </c>
    </row>
    <row r="3732" spans="1:8" ht="31.5">
      <c r="A3732" s="615" t="s">
        <v>663</v>
      </c>
      <c r="B3732" s="616" t="s">
        <v>664</v>
      </c>
      <c r="C3732" s="617" t="s">
        <v>379</v>
      </c>
      <c r="D3732" s="617" t="s">
        <v>379</v>
      </c>
      <c r="E3732" s="617" t="s">
        <v>379</v>
      </c>
      <c r="F3732" s="617" t="s">
        <v>379</v>
      </c>
      <c r="G3732" s="617" t="s">
        <v>379</v>
      </c>
      <c r="H3732" s="618" t="s">
        <v>626</v>
      </c>
    </row>
    <row r="3733" spans="1:8" ht="15.75">
      <c r="A3733" s="619"/>
      <c r="B3733" s="620"/>
      <c r="C3733" s="621"/>
      <c r="D3733" s="621"/>
      <c r="E3733" s="621"/>
      <c r="F3733" s="621"/>
      <c r="G3733" s="621"/>
      <c r="H3733" s="148"/>
    </row>
    <row r="3734" spans="1:8" ht="12.75" customHeight="1">
      <c r="A3734" s="707" t="s">
        <v>665</v>
      </c>
      <c r="B3734" s="707"/>
      <c r="C3734" s="707"/>
      <c r="D3734" s="707"/>
      <c r="E3734" s="707"/>
      <c r="F3734" s="707"/>
      <c r="G3734" s="707"/>
      <c r="H3734" s="707"/>
    </row>
    <row r="3735" spans="1:8" ht="15.75">
      <c r="A3735" s="622"/>
      <c r="B3735" s="622"/>
      <c r="C3735" s="622"/>
      <c r="D3735" s="622"/>
      <c r="E3735" s="622"/>
      <c r="F3735" s="622"/>
      <c r="G3735" s="622"/>
      <c r="H3735" s="622"/>
    </row>
    <row r="3736" spans="1:8" ht="15.75">
      <c r="A3736" s="622"/>
      <c r="B3736" s="622"/>
      <c r="C3736" s="622"/>
      <c r="D3736" s="622"/>
      <c r="E3736" s="622"/>
      <c r="F3736" s="622"/>
      <c r="G3736" s="622"/>
      <c r="H3736" s="622"/>
    </row>
    <row r="3737" spans="1:8" ht="15.75">
      <c r="A3737" s="622"/>
      <c r="B3737" s="622"/>
      <c r="C3737" s="622"/>
      <c r="D3737" s="622"/>
      <c r="E3737" s="622"/>
      <c r="F3737" s="622"/>
      <c r="G3737" s="622"/>
      <c r="H3737" s="622"/>
    </row>
    <row r="3738" ht="15.75">
      <c r="H3738" s="11" t="s">
        <v>609</v>
      </c>
    </row>
    <row r="3739" ht="15.75">
      <c r="H3739" s="11" t="s">
        <v>610</v>
      </c>
    </row>
    <row r="3740" ht="15.75">
      <c r="H3740" s="11" t="s">
        <v>611</v>
      </c>
    </row>
    <row r="3741" ht="15.75">
      <c r="H3741" s="11"/>
    </row>
    <row r="3742" spans="1:8" ht="12.75" customHeight="1">
      <c r="A3742" s="713" t="s">
        <v>612</v>
      </c>
      <c r="B3742" s="713"/>
      <c r="C3742" s="713"/>
      <c r="D3742" s="713"/>
      <c r="E3742" s="713"/>
      <c r="F3742" s="713"/>
      <c r="G3742" s="713"/>
      <c r="H3742" s="713"/>
    </row>
    <row r="3743" spans="1:8" ht="12.75" customHeight="1">
      <c r="A3743" s="713" t="s">
        <v>613</v>
      </c>
      <c r="B3743" s="713"/>
      <c r="C3743" s="713"/>
      <c r="D3743" s="713"/>
      <c r="E3743" s="713"/>
      <c r="F3743" s="713"/>
      <c r="G3743" s="713"/>
      <c r="H3743" s="713"/>
    </row>
    <row r="3744" ht="15.75">
      <c r="H3744" s="11" t="s">
        <v>43</v>
      </c>
    </row>
    <row r="3745" ht="15.75">
      <c r="H3745" s="11" t="s">
        <v>44</v>
      </c>
    </row>
    <row r="3746" ht="15.75">
      <c r="H3746" s="11" t="s">
        <v>45</v>
      </c>
    </row>
    <row r="3747" ht="15.75">
      <c r="H3747" s="594" t="s">
        <v>614</v>
      </c>
    </row>
    <row r="3748" ht="15.75">
      <c r="H3748" s="11" t="s">
        <v>615</v>
      </c>
    </row>
    <row r="3749" ht="15.75">
      <c r="H3749" s="11" t="s">
        <v>47</v>
      </c>
    </row>
    <row r="3750" ht="15.75">
      <c r="A3750" s="595"/>
    </row>
    <row r="3751" ht="15.75">
      <c r="A3751" s="3" t="s">
        <v>823</v>
      </c>
    </row>
    <row r="3752" spans="1:8" ht="12.75" customHeight="1">
      <c r="A3752" s="717" t="s">
        <v>0</v>
      </c>
      <c r="B3752" s="714"/>
      <c r="C3752" s="714"/>
      <c r="D3752" s="714"/>
      <c r="E3752" s="714"/>
      <c r="F3752" s="714"/>
      <c r="G3752" s="714"/>
      <c r="H3752" s="714"/>
    </row>
    <row r="3753" spans="1:8" ht="16.5" thickBot="1">
      <c r="A3753" s="597"/>
      <c r="B3753" s="597"/>
      <c r="C3753" s="598"/>
      <c r="D3753" s="598"/>
      <c r="E3753" s="598"/>
      <c r="F3753" s="598"/>
      <c r="G3753" s="598"/>
      <c r="H3753" s="598"/>
    </row>
    <row r="3754" spans="1:8" ht="12.75" customHeight="1">
      <c r="A3754" s="708" t="s">
        <v>617</v>
      </c>
      <c r="B3754" s="710" t="s">
        <v>618</v>
      </c>
      <c r="C3754" s="711" t="s">
        <v>619</v>
      </c>
      <c r="D3754" s="711"/>
      <c r="E3754" s="711"/>
      <c r="F3754" s="711"/>
      <c r="G3754" s="712" t="s">
        <v>620</v>
      </c>
      <c r="H3754" s="708" t="s">
        <v>621</v>
      </c>
    </row>
    <row r="3755" spans="1:8" ht="15.75">
      <c r="A3755" s="708"/>
      <c r="B3755" s="710"/>
      <c r="C3755" s="711"/>
      <c r="D3755" s="711"/>
      <c r="E3755" s="711"/>
      <c r="F3755" s="711"/>
      <c r="G3755" s="712"/>
      <c r="H3755" s="708"/>
    </row>
    <row r="3756" spans="1:8" ht="31.5">
      <c r="A3756" s="708"/>
      <c r="B3756" s="710"/>
      <c r="C3756" s="601" t="s">
        <v>622</v>
      </c>
      <c r="D3756" s="601" t="s">
        <v>623</v>
      </c>
      <c r="E3756" s="602" t="s">
        <v>622</v>
      </c>
      <c r="F3756" s="603" t="s">
        <v>623</v>
      </c>
      <c r="G3756" s="712"/>
      <c r="H3756" s="708"/>
    </row>
    <row r="3757" spans="1:8" ht="15.75">
      <c r="A3757" s="599">
        <v>1</v>
      </c>
      <c r="B3757" s="599">
        <v>2</v>
      </c>
      <c r="C3757" s="604">
        <v>3</v>
      </c>
      <c r="D3757" s="604">
        <v>4</v>
      </c>
      <c r="E3757" s="605"/>
      <c r="F3757" s="606"/>
      <c r="G3757" s="600">
        <v>5</v>
      </c>
      <c r="H3757" s="599">
        <v>6</v>
      </c>
    </row>
    <row r="3758" spans="1:8" ht="12.75" customHeight="1">
      <c r="A3758" s="607">
        <v>1</v>
      </c>
      <c r="B3758" s="709" t="s">
        <v>624</v>
      </c>
      <c r="C3758" s="709"/>
      <c r="D3758" s="709"/>
      <c r="E3758" s="709"/>
      <c r="F3758" s="709"/>
      <c r="G3758" s="709"/>
      <c r="H3758" s="709"/>
    </row>
    <row r="3759" spans="1:8" ht="15.75">
      <c r="A3759" s="608" t="s">
        <v>74</v>
      </c>
      <c r="B3759" s="609" t="s">
        <v>625</v>
      </c>
      <c r="C3759" s="610" t="s">
        <v>379</v>
      </c>
      <c r="D3759" s="610" t="s">
        <v>379</v>
      </c>
      <c r="E3759" s="610" t="s">
        <v>379</v>
      </c>
      <c r="F3759" s="610" t="s">
        <v>379</v>
      </c>
      <c r="G3759" s="610" t="s">
        <v>379</v>
      </c>
      <c r="H3759" s="611" t="s">
        <v>626</v>
      </c>
    </row>
    <row r="3760" spans="1:8" ht="15.75">
      <c r="A3760" s="608" t="s">
        <v>313</v>
      </c>
      <c r="B3760" s="609" t="s">
        <v>627</v>
      </c>
      <c r="C3760" s="610" t="s">
        <v>379</v>
      </c>
      <c r="D3760" s="610" t="s">
        <v>379</v>
      </c>
      <c r="E3760" s="610" t="s">
        <v>379</v>
      </c>
      <c r="F3760" s="610" t="s">
        <v>379</v>
      </c>
      <c r="G3760" s="610" t="s">
        <v>379</v>
      </c>
      <c r="H3760" s="611" t="s">
        <v>626</v>
      </c>
    </row>
    <row r="3761" spans="1:8" ht="31.5">
      <c r="A3761" s="608" t="s">
        <v>315</v>
      </c>
      <c r="B3761" s="612" t="s">
        <v>628</v>
      </c>
      <c r="C3761" s="610" t="s">
        <v>379</v>
      </c>
      <c r="D3761" s="610" t="s">
        <v>379</v>
      </c>
      <c r="E3761" s="610" t="s">
        <v>379</v>
      </c>
      <c r="F3761" s="610" t="s">
        <v>379</v>
      </c>
      <c r="G3761" s="610" t="s">
        <v>379</v>
      </c>
      <c r="H3761" s="611" t="s">
        <v>626</v>
      </c>
    </row>
    <row r="3762" spans="1:8" ht="47.25">
      <c r="A3762" s="608" t="s">
        <v>317</v>
      </c>
      <c r="B3762" s="612" t="s">
        <v>629</v>
      </c>
      <c r="C3762" s="610" t="s">
        <v>379</v>
      </c>
      <c r="D3762" s="610" t="s">
        <v>379</v>
      </c>
      <c r="E3762" s="610" t="s">
        <v>379</v>
      </c>
      <c r="F3762" s="610" t="s">
        <v>379</v>
      </c>
      <c r="G3762" s="610" t="s">
        <v>379</v>
      </c>
      <c r="H3762" s="611" t="s">
        <v>626</v>
      </c>
    </row>
    <row r="3763" spans="1:8" ht="15.75">
      <c r="A3763" s="608" t="s">
        <v>630</v>
      </c>
      <c r="B3763" s="613" t="s">
        <v>631</v>
      </c>
      <c r="C3763" s="610" t="s">
        <v>379</v>
      </c>
      <c r="D3763" s="610" t="s">
        <v>379</v>
      </c>
      <c r="E3763" s="610" t="s">
        <v>379</v>
      </c>
      <c r="F3763" s="610" t="s">
        <v>379</v>
      </c>
      <c r="G3763" s="610" t="s">
        <v>379</v>
      </c>
      <c r="H3763" s="611" t="s">
        <v>626</v>
      </c>
    </row>
    <row r="3764" spans="1:8" ht="15.75">
      <c r="A3764" s="608" t="s">
        <v>632</v>
      </c>
      <c r="B3764" s="613" t="s">
        <v>633</v>
      </c>
      <c r="C3764" s="610" t="s">
        <v>379</v>
      </c>
      <c r="D3764" s="610" t="s">
        <v>379</v>
      </c>
      <c r="E3764" s="610" t="s">
        <v>379</v>
      </c>
      <c r="F3764" s="610" t="s">
        <v>379</v>
      </c>
      <c r="G3764" s="610" t="s">
        <v>379</v>
      </c>
      <c r="H3764" s="611" t="s">
        <v>626</v>
      </c>
    </row>
    <row r="3765" spans="1:8" ht="12.75" customHeight="1">
      <c r="A3765" s="608">
        <v>2</v>
      </c>
      <c r="B3765" s="706" t="s">
        <v>634</v>
      </c>
      <c r="C3765" s="706"/>
      <c r="D3765" s="706"/>
      <c r="E3765" s="706"/>
      <c r="F3765" s="706"/>
      <c r="G3765" s="706"/>
      <c r="H3765" s="706"/>
    </row>
    <row r="3766" spans="1:8" ht="31.5">
      <c r="A3766" s="608" t="s">
        <v>321</v>
      </c>
      <c r="B3766" s="612" t="s">
        <v>635</v>
      </c>
      <c r="C3766" s="610" t="s">
        <v>710</v>
      </c>
      <c r="D3766" s="610" t="s">
        <v>723</v>
      </c>
      <c r="E3766" s="610" t="s">
        <v>379</v>
      </c>
      <c r="F3766" s="610" t="s">
        <v>379</v>
      </c>
      <c r="G3766" s="614">
        <v>0</v>
      </c>
      <c r="H3766" s="611"/>
    </row>
    <row r="3767" spans="1:8" ht="47.25">
      <c r="A3767" s="608" t="s">
        <v>325</v>
      </c>
      <c r="B3767" s="612" t="s">
        <v>638</v>
      </c>
      <c r="C3767" s="610" t="s">
        <v>379</v>
      </c>
      <c r="D3767" s="610" t="s">
        <v>379</v>
      </c>
      <c r="E3767" s="610" t="s">
        <v>379</v>
      </c>
      <c r="F3767" s="610" t="s">
        <v>379</v>
      </c>
      <c r="G3767" s="610" t="s">
        <v>379</v>
      </c>
      <c r="H3767" s="611" t="s">
        <v>626</v>
      </c>
    </row>
    <row r="3768" spans="1:8" ht="31.5">
      <c r="A3768" s="608" t="s">
        <v>639</v>
      </c>
      <c r="B3768" s="612" t="s">
        <v>640</v>
      </c>
      <c r="C3768" s="610" t="s">
        <v>379</v>
      </c>
      <c r="D3768" s="610" t="s">
        <v>379</v>
      </c>
      <c r="E3768" s="610" t="s">
        <v>379</v>
      </c>
      <c r="F3768" s="610" t="s">
        <v>379</v>
      </c>
      <c r="G3768" s="610" t="s">
        <v>379</v>
      </c>
      <c r="H3768" s="611" t="s">
        <v>626</v>
      </c>
    </row>
    <row r="3769" spans="1:8" ht="12.75" customHeight="1">
      <c r="A3769" s="608">
        <v>3</v>
      </c>
      <c r="B3769" s="706" t="s">
        <v>641</v>
      </c>
      <c r="C3769" s="706"/>
      <c r="D3769" s="706"/>
      <c r="E3769" s="706"/>
      <c r="F3769" s="706"/>
      <c r="G3769" s="706"/>
      <c r="H3769" s="706"/>
    </row>
    <row r="3770" spans="1:8" ht="31.5">
      <c r="A3770" s="608" t="s">
        <v>378</v>
      </c>
      <c r="B3770" s="613" t="s">
        <v>642</v>
      </c>
      <c r="C3770" s="610" t="s">
        <v>379</v>
      </c>
      <c r="D3770" s="610" t="s">
        <v>379</v>
      </c>
      <c r="E3770" s="610" t="s">
        <v>379</v>
      </c>
      <c r="F3770" s="610" t="s">
        <v>379</v>
      </c>
      <c r="G3770" s="610" t="s">
        <v>379</v>
      </c>
      <c r="H3770" s="611" t="s">
        <v>626</v>
      </c>
    </row>
    <row r="3771" spans="1:8" ht="15.75">
      <c r="A3771" s="608" t="s">
        <v>643</v>
      </c>
      <c r="B3771" s="613" t="s">
        <v>644</v>
      </c>
      <c r="C3771" s="610" t="s">
        <v>710</v>
      </c>
      <c r="D3771" s="610" t="s">
        <v>824</v>
      </c>
      <c r="E3771" s="610" t="s">
        <v>379</v>
      </c>
      <c r="F3771" s="610" t="s">
        <v>379</v>
      </c>
      <c r="G3771" s="614">
        <v>0</v>
      </c>
      <c r="H3771" s="611"/>
    </row>
    <row r="3772" spans="1:8" ht="15.75">
      <c r="A3772" s="608" t="s">
        <v>380</v>
      </c>
      <c r="B3772" s="613" t="s">
        <v>646</v>
      </c>
      <c r="C3772" s="610" t="s">
        <v>713</v>
      </c>
      <c r="D3772" s="610" t="s">
        <v>825</v>
      </c>
      <c r="E3772" s="610" t="s">
        <v>379</v>
      </c>
      <c r="F3772" s="610" t="s">
        <v>379</v>
      </c>
      <c r="G3772" s="614">
        <v>0</v>
      </c>
      <c r="H3772" s="611"/>
    </row>
    <row r="3773" spans="1:8" ht="15.75">
      <c r="A3773" s="608" t="s">
        <v>649</v>
      </c>
      <c r="B3773" s="613" t="s">
        <v>650</v>
      </c>
      <c r="C3773" s="610" t="s">
        <v>715</v>
      </c>
      <c r="D3773" s="610" t="s">
        <v>826</v>
      </c>
      <c r="E3773" s="610" t="s">
        <v>379</v>
      </c>
      <c r="F3773" s="610" t="s">
        <v>379</v>
      </c>
      <c r="G3773" s="614">
        <v>0</v>
      </c>
      <c r="H3773" s="611"/>
    </row>
    <row r="3774" spans="1:8" ht="15.75">
      <c r="A3774" s="608" t="s">
        <v>653</v>
      </c>
      <c r="B3774" s="613" t="s">
        <v>654</v>
      </c>
      <c r="C3774" s="610" t="s">
        <v>722</v>
      </c>
      <c r="D3774" s="610" t="s">
        <v>723</v>
      </c>
      <c r="E3774" s="610" t="s">
        <v>379</v>
      </c>
      <c r="F3774" s="610" t="s">
        <v>379</v>
      </c>
      <c r="G3774" s="614">
        <v>0</v>
      </c>
      <c r="H3774" s="611"/>
    </row>
    <row r="3775" spans="1:8" ht="12.75" customHeight="1">
      <c r="A3775" s="608">
        <v>4</v>
      </c>
      <c r="B3775" s="706" t="s">
        <v>656</v>
      </c>
      <c r="C3775" s="706"/>
      <c r="D3775" s="706"/>
      <c r="E3775" s="706"/>
      <c r="F3775" s="706"/>
      <c r="G3775" s="706"/>
      <c r="H3775" s="706"/>
    </row>
    <row r="3776" spans="1:8" ht="31.5">
      <c r="A3776" s="608" t="s">
        <v>657</v>
      </c>
      <c r="B3776" s="612" t="s">
        <v>658</v>
      </c>
      <c r="C3776" s="610" t="s">
        <v>379</v>
      </c>
      <c r="D3776" s="610" t="s">
        <v>379</v>
      </c>
      <c r="E3776" s="610" t="s">
        <v>379</v>
      </c>
      <c r="F3776" s="610" t="s">
        <v>379</v>
      </c>
      <c r="G3776" s="610" t="s">
        <v>379</v>
      </c>
      <c r="H3776" s="611" t="s">
        <v>626</v>
      </c>
    </row>
    <row r="3777" spans="1:8" ht="47.25">
      <c r="A3777" s="608" t="s">
        <v>659</v>
      </c>
      <c r="B3777" s="612" t="s">
        <v>660</v>
      </c>
      <c r="C3777" s="610" t="s">
        <v>379</v>
      </c>
      <c r="D3777" s="610" t="s">
        <v>379</v>
      </c>
      <c r="E3777" s="610" t="s">
        <v>379</v>
      </c>
      <c r="F3777" s="610" t="s">
        <v>379</v>
      </c>
      <c r="G3777" s="610" t="s">
        <v>379</v>
      </c>
      <c r="H3777" s="611" t="s">
        <v>626</v>
      </c>
    </row>
    <row r="3778" spans="1:8" ht="31.5">
      <c r="A3778" s="608" t="s">
        <v>661</v>
      </c>
      <c r="B3778" s="613" t="s">
        <v>662</v>
      </c>
      <c r="C3778" s="610" t="s">
        <v>379</v>
      </c>
      <c r="D3778" s="610" t="s">
        <v>379</v>
      </c>
      <c r="E3778" s="610" t="s">
        <v>379</v>
      </c>
      <c r="F3778" s="610" t="s">
        <v>379</v>
      </c>
      <c r="G3778" s="610" t="s">
        <v>379</v>
      </c>
      <c r="H3778" s="611" t="s">
        <v>626</v>
      </c>
    </row>
    <row r="3779" spans="1:8" ht="31.5">
      <c r="A3779" s="615" t="s">
        <v>663</v>
      </c>
      <c r="B3779" s="616" t="s">
        <v>664</v>
      </c>
      <c r="C3779" s="617" t="s">
        <v>379</v>
      </c>
      <c r="D3779" s="617" t="s">
        <v>379</v>
      </c>
      <c r="E3779" s="617" t="s">
        <v>379</v>
      </c>
      <c r="F3779" s="617" t="s">
        <v>379</v>
      </c>
      <c r="G3779" s="617" t="s">
        <v>379</v>
      </c>
      <c r="H3779" s="618" t="s">
        <v>626</v>
      </c>
    </row>
    <row r="3780" spans="1:8" ht="15.75">
      <c r="A3780" s="619"/>
      <c r="B3780" s="620"/>
      <c r="C3780" s="621"/>
      <c r="D3780" s="621"/>
      <c r="E3780" s="621"/>
      <c r="F3780" s="621"/>
      <c r="G3780" s="621"/>
      <c r="H3780" s="148"/>
    </row>
    <row r="3781" spans="1:8" ht="12.75" customHeight="1">
      <c r="A3781" s="707" t="s">
        <v>665</v>
      </c>
      <c r="B3781" s="707"/>
      <c r="C3781" s="707"/>
      <c r="D3781" s="707"/>
      <c r="E3781" s="707"/>
      <c r="F3781" s="707"/>
      <c r="G3781" s="707"/>
      <c r="H3781" s="707"/>
    </row>
    <row r="3782" spans="1:8" ht="15.75">
      <c r="A3782" s="622"/>
      <c r="B3782" s="622"/>
      <c r="C3782" s="622"/>
      <c r="D3782" s="622"/>
      <c r="E3782" s="622"/>
      <c r="F3782" s="622"/>
      <c r="G3782" s="622"/>
      <c r="H3782" s="622"/>
    </row>
    <row r="3783" spans="1:8" ht="15.75">
      <c r="A3783" s="622"/>
      <c r="B3783" s="622"/>
      <c r="C3783" s="622"/>
      <c r="D3783" s="622"/>
      <c r="E3783" s="622"/>
      <c r="F3783" s="622"/>
      <c r="G3783" s="622"/>
      <c r="H3783" s="622"/>
    </row>
    <row r="3784" spans="1:8" ht="15.75">
      <c r="A3784" s="622"/>
      <c r="B3784" s="622"/>
      <c r="C3784" s="622"/>
      <c r="D3784" s="622"/>
      <c r="E3784" s="622"/>
      <c r="F3784" s="622"/>
      <c r="G3784" s="622"/>
      <c r="H3784" s="622"/>
    </row>
    <row r="3785" spans="1:8" ht="15.75">
      <c r="A3785" s="622"/>
      <c r="B3785" s="622"/>
      <c r="C3785" s="622"/>
      <c r="D3785" s="622"/>
      <c r="E3785" s="622"/>
      <c r="F3785" s="622"/>
      <c r="G3785" s="622"/>
      <c r="H3785" s="622"/>
    </row>
    <row r="3786" spans="1:8" ht="15.75">
      <c r="A3786" s="622"/>
      <c r="B3786" s="622"/>
      <c r="C3786" s="622"/>
      <c r="D3786" s="622"/>
      <c r="E3786" s="622"/>
      <c r="F3786" s="622"/>
      <c r="G3786" s="622"/>
      <c r="H3786" s="622"/>
    </row>
    <row r="3787" spans="1:8" ht="15.75">
      <c r="A3787" s="622"/>
      <c r="B3787" s="622"/>
      <c r="C3787" s="622"/>
      <c r="D3787" s="622"/>
      <c r="E3787" s="622"/>
      <c r="F3787" s="622"/>
      <c r="G3787" s="622"/>
      <c r="H3787" s="622"/>
    </row>
    <row r="3788" spans="1:8" ht="15.75">
      <c r="A3788" s="622"/>
      <c r="B3788" s="622"/>
      <c r="C3788" s="622"/>
      <c r="D3788" s="622"/>
      <c r="E3788" s="622"/>
      <c r="F3788" s="622"/>
      <c r="G3788" s="622"/>
      <c r="H3788" s="622"/>
    </row>
    <row r="3789" ht="15.75">
      <c r="H3789" s="11" t="s">
        <v>609</v>
      </c>
    </row>
    <row r="3790" ht="15.75">
      <c r="H3790" s="11" t="s">
        <v>610</v>
      </c>
    </row>
    <row r="3791" ht="15.75">
      <c r="H3791" s="11" t="s">
        <v>611</v>
      </c>
    </row>
    <row r="3792" ht="15.75">
      <c r="H3792" s="11"/>
    </row>
    <row r="3793" spans="1:8" ht="15.75">
      <c r="A3793" s="713" t="s">
        <v>612</v>
      </c>
      <c r="B3793" s="713"/>
      <c r="C3793" s="713"/>
      <c r="D3793" s="713"/>
      <c r="E3793" s="713"/>
      <c r="F3793" s="713"/>
      <c r="G3793" s="713"/>
      <c r="H3793" s="713"/>
    </row>
    <row r="3794" spans="1:8" ht="15.75">
      <c r="A3794" s="713" t="s">
        <v>613</v>
      </c>
      <c r="B3794" s="713"/>
      <c r="C3794" s="713"/>
      <c r="D3794" s="713"/>
      <c r="E3794" s="713"/>
      <c r="F3794" s="713"/>
      <c r="G3794" s="713"/>
      <c r="H3794" s="713"/>
    </row>
    <row r="3795" ht="15.75">
      <c r="H3795" s="11" t="s">
        <v>43</v>
      </c>
    </row>
    <row r="3796" ht="15.75">
      <c r="H3796" s="11" t="s">
        <v>44</v>
      </c>
    </row>
    <row r="3797" ht="15.75">
      <c r="H3797" s="11" t="s">
        <v>45</v>
      </c>
    </row>
    <row r="3798" ht="15.75">
      <c r="H3798" s="594" t="s">
        <v>614</v>
      </c>
    </row>
    <row r="3799" ht="15.75">
      <c r="H3799" s="11" t="s">
        <v>615</v>
      </c>
    </row>
    <row r="3800" ht="15.75">
      <c r="H3800" s="11" t="s">
        <v>47</v>
      </c>
    </row>
    <row r="3801" ht="15.75">
      <c r="A3801" s="595"/>
    </row>
    <row r="3802" ht="15.75">
      <c r="A3802" s="567" t="s">
        <v>11</v>
      </c>
    </row>
    <row r="3803" spans="1:8" ht="15.75" customHeight="1">
      <c r="A3803" s="717" t="s">
        <v>0</v>
      </c>
      <c r="B3803" s="714"/>
      <c r="C3803" s="714"/>
      <c r="D3803" s="714"/>
      <c r="E3803" s="714"/>
      <c r="F3803" s="714"/>
      <c r="G3803" s="714"/>
      <c r="H3803" s="714"/>
    </row>
    <row r="3804" spans="1:8" ht="16.5" thickBot="1">
      <c r="A3804" s="597"/>
      <c r="B3804" s="597"/>
      <c r="C3804" s="598"/>
      <c r="D3804" s="598"/>
      <c r="E3804" s="598"/>
      <c r="F3804" s="598"/>
      <c r="G3804" s="598"/>
      <c r="H3804" s="598"/>
    </row>
    <row r="3805" spans="1:8" ht="16.5" thickBot="1">
      <c r="A3805" s="708" t="s">
        <v>617</v>
      </c>
      <c r="B3805" s="710" t="s">
        <v>618</v>
      </c>
      <c r="C3805" s="711" t="s">
        <v>619</v>
      </c>
      <c r="D3805" s="711"/>
      <c r="E3805" s="711"/>
      <c r="F3805" s="711"/>
      <c r="G3805" s="712" t="s">
        <v>620</v>
      </c>
      <c r="H3805" s="708" t="s">
        <v>621</v>
      </c>
    </row>
    <row r="3806" spans="1:8" ht="16.5" thickBot="1">
      <c r="A3806" s="708"/>
      <c r="B3806" s="710"/>
      <c r="C3806" s="711"/>
      <c r="D3806" s="711"/>
      <c r="E3806" s="711"/>
      <c r="F3806" s="711"/>
      <c r="G3806" s="712"/>
      <c r="H3806" s="708"/>
    </row>
    <row r="3807" spans="1:8" ht="32.25" thickBot="1">
      <c r="A3807" s="708"/>
      <c r="B3807" s="710"/>
      <c r="C3807" s="601" t="s">
        <v>622</v>
      </c>
      <c r="D3807" s="601" t="s">
        <v>623</v>
      </c>
      <c r="E3807" s="602" t="s">
        <v>622</v>
      </c>
      <c r="F3807" s="603" t="s">
        <v>623</v>
      </c>
      <c r="G3807" s="712"/>
      <c r="H3807" s="708"/>
    </row>
    <row r="3808" spans="1:8" ht="16.5" thickBot="1">
      <c r="A3808" s="599">
        <v>1</v>
      </c>
      <c r="B3808" s="599">
        <v>2</v>
      </c>
      <c r="C3808" s="604">
        <v>3</v>
      </c>
      <c r="D3808" s="604">
        <v>4</v>
      </c>
      <c r="E3808" s="605"/>
      <c r="F3808" s="606"/>
      <c r="G3808" s="600">
        <v>5</v>
      </c>
      <c r="H3808" s="599">
        <v>6</v>
      </c>
    </row>
    <row r="3809" spans="1:8" ht="15.75">
      <c r="A3809" s="607">
        <v>1</v>
      </c>
      <c r="B3809" s="709" t="s">
        <v>624</v>
      </c>
      <c r="C3809" s="709"/>
      <c r="D3809" s="709"/>
      <c r="E3809" s="709"/>
      <c r="F3809" s="709"/>
      <c r="G3809" s="709"/>
      <c r="H3809" s="709"/>
    </row>
    <row r="3810" spans="1:8" ht="15.75">
      <c r="A3810" s="608" t="s">
        <v>74</v>
      </c>
      <c r="B3810" s="609" t="s">
        <v>625</v>
      </c>
      <c r="C3810" s="610" t="s">
        <v>379</v>
      </c>
      <c r="D3810" s="610" t="s">
        <v>379</v>
      </c>
      <c r="E3810" s="610" t="s">
        <v>379</v>
      </c>
      <c r="F3810" s="610" t="s">
        <v>379</v>
      </c>
      <c r="G3810" s="610" t="s">
        <v>379</v>
      </c>
      <c r="H3810" s="611" t="s">
        <v>626</v>
      </c>
    </row>
    <row r="3811" spans="1:8" ht="15.75">
      <c r="A3811" s="608" t="s">
        <v>313</v>
      </c>
      <c r="B3811" s="609" t="s">
        <v>627</v>
      </c>
      <c r="C3811" s="610" t="s">
        <v>379</v>
      </c>
      <c r="D3811" s="610" t="s">
        <v>379</v>
      </c>
      <c r="E3811" s="610" t="s">
        <v>379</v>
      </c>
      <c r="F3811" s="610" t="s">
        <v>379</v>
      </c>
      <c r="G3811" s="610" t="s">
        <v>379</v>
      </c>
      <c r="H3811" s="611" t="s">
        <v>626</v>
      </c>
    </row>
    <row r="3812" spans="1:8" ht="31.5">
      <c r="A3812" s="608" t="s">
        <v>315</v>
      </c>
      <c r="B3812" s="612" t="s">
        <v>628</v>
      </c>
      <c r="C3812" s="610" t="s">
        <v>379</v>
      </c>
      <c r="D3812" s="610" t="s">
        <v>379</v>
      </c>
      <c r="E3812" s="610" t="s">
        <v>379</v>
      </c>
      <c r="F3812" s="610" t="s">
        <v>379</v>
      </c>
      <c r="G3812" s="610" t="s">
        <v>379</v>
      </c>
      <c r="H3812" s="611" t="s">
        <v>626</v>
      </c>
    </row>
    <row r="3813" spans="1:8" ht="47.25">
      <c r="A3813" s="608" t="s">
        <v>317</v>
      </c>
      <c r="B3813" s="612" t="s">
        <v>629</v>
      </c>
      <c r="C3813" s="610" t="s">
        <v>379</v>
      </c>
      <c r="D3813" s="610" t="s">
        <v>379</v>
      </c>
      <c r="E3813" s="610" t="s">
        <v>379</v>
      </c>
      <c r="F3813" s="610" t="s">
        <v>379</v>
      </c>
      <c r="G3813" s="610" t="s">
        <v>379</v>
      </c>
      <c r="H3813" s="611" t="s">
        <v>626</v>
      </c>
    </row>
    <row r="3814" spans="1:8" ht="15.75">
      <c r="A3814" s="608" t="s">
        <v>630</v>
      </c>
      <c r="B3814" s="613" t="s">
        <v>631</v>
      </c>
      <c r="C3814" s="610" t="s">
        <v>379</v>
      </c>
      <c r="D3814" s="610" t="s">
        <v>379</v>
      </c>
      <c r="E3814" s="610" t="s">
        <v>379</v>
      </c>
      <c r="F3814" s="610" t="s">
        <v>379</v>
      </c>
      <c r="G3814" s="610" t="s">
        <v>379</v>
      </c>
      <c r="H3814" s="611" t="s">
        <v>626</v>
      </c>
    </row>
    <row r="3815" spans="1:8" ht="15.75">
      <c r="A3815" s="608" t="s">
        <v>632</v>
      </c>
      <c r="B3815" s="613" t="s">
        <v>633</v>
      </c>
      <c r="C3815" s="610" t="s">
        <v>379</v>
      </c>
      <c r="D3815" s="610" t="s">
        <v>379</v>
      </c>
      <c r="E3815" s="610" t="s">
        <v>379</v>
      </c>
      <c r="F3815" s="610" t="s">
        <v>379</v>
      </c>
      <c r="G3815" s="610" t="s">
        <v>379</v>
      </c>
      <c r="H3815" s="611" t="s">
        <v>626</v>
      </c>
    </row>
    <row r="3816" spans="1:8" ht="15.75">
      <c r="A3816" s="608">
        <v>2</v>
      </c>
      <c r="B3816" s="706" t="s">
        <v>634</v>
      </c>
      <c r="C3816" s="706"/>
      <c r="D3816" s="706"/>
      <c r="E3816" s="706"/>
      <c r="F3816" s="706"/>
      <c r="G3816" s="706"/>
      <c r="H3816" s="706"/>
    </row>
    <row r="3817" spans="1:8" ht="31.5">
      <c r="A3817" s="608" t="s">
        <v>321</v>
      </c>
      <c r="B3817" s="612" t="s">
        <v>635</v>
      </c>
      <c r="C3817" s="640" t="s">
        <v>806</v>
      </c>
      <c r="D3817" s="640" t="s">
        <v>871</v>
      </c>
      <c r="E3817" s="610" t="s">
        <v>379</v>
      </c>
      <c r="F3817" s="610" t="s">
        <v>379</v>
      </c>
      <c r="G3817" s="614">
        <v>0</v>
      </c>
      <c r="H3817" s="611"/>
    </row>
    <row r="3818" spans="1:8" ht="47.25">
      <c r="A3818" s="608" t="s">
        <v>325</v>
      </c>
      <c r="B3818" s="612" t="s">
        <v>638</v>
      </c>
      <c r="C3818" s="610" t="s">
        <v>379</v>
      </c>
      <c r="D3818" s="610" t="s">
        <v>379</v>
      </c>
      <c r="E3818" s="610" t="s">
        <v>379</v>
      </c>
      <c r="F3818" s="610" t="s">
        <v>379</v>
      </c>
      <c r="G3818" s="610" t="s">
        <v>379</v>
      </c>
      <c r="H3818" s="611" t="s">
        <v>626</v>
      </c>
    </row>
    <row r="3819" spans="1:8" ht="31.5">
      <c r="A3819" s="608" t="s">
        <v>639</v>
      </c>
      <c r="B3819" s="612" t="s">
        <v>640</v>
      </c>
      <c r="C3819" s="610" t="s">
        <v>379</v>
      </c>
      <c r="D3819" s="610" t="s">
        <v>379</v>
      </c>
      <c r="E3819" s="610" t="s">
        <v>379</v>
      </c>
      <c r="F3819" s="610" t="s">
        <v>379</v>
      </c>
      <c r="G3819" s="610" t="s">
        <v>379</v>
      </c>
      <c r="H3819" s="611" t="s">
        <v>626</v>
      </c>
    </row>
    <row r="3820" spans="1:8" ht="15.75">
      <c r="A3820" s="608">
        <v>3</v>
      </c>
      <c r="B3820" s="706" t="s">
        <v>641</v>
      </c>
      <c r="C3820" s="706"/>
      <c r="D3820" s="706"/>
      <c r="E3820" s="706"/>
      <c r="F3820" s="706"/>
      <c r="G3820" s="706"/>
      <c r="H3820" s="706"/>
    </row>
    <row r="3821" spans="1:8" ht="31.5">
      <c r="A3821" s="608" t="s">
        <v>378</v>
      </c>
      <c r="B3821" s="613" t="s">
        <v>642</v>
      </c>
      <c r="C3821" s="610" t="s">
        <v>379</v>
      </c>
      <c r="D3821" s="610" t="s">
        <v>379</v>
      </c>
      <c r="E3821" s="610" t="s">
        <v>379</v>
      </c>
      <c r="F3821" s="610" t="s">
        <v>379</v>
      </c>
      <c r="G3821" s="610" t="s">
        <v>379</v>
      </c>
      <c r="H3821" s="611" t="s">
        <v>626</v>
      </c>
    </row>
    <row r="3822" spans="1:8" ht="15.75">
      <c r="A3822" s="608" t="s">
        <v>643</v>
      </c>
      <c r="B3822" s="613" t="s">
        <v>644</v>
      </c>
      <c r="C3822" s="640" t="s">
        <v>806</v>
      </c>
      <c r="D3822" s="640" t="s">
        <v>744</v>
      </c>
      <c r="E3822" s="610" t="s">
        <v>379</v>
      </c>
      <c r="F3822" s="610" t="s">
        <v>379</v>
      </c>
      <c r="G3822" s="614">
        <v>0</v>
      </c>
      <c r="H3822" s="611"/>
    </row>
    <row r="3823" spans="1:8" ht="15.75">
      <c r="A3823" s="608" t="s">
        <v>380</v>
      </c>
      <c r="B3823" s="613" t="s">
        <v>646</v>
      </c>
      <c r="C3823" s="640" t="s">
        <v>756</v>
      </c>
      <c r="D3823" s="640" t="s">
        <v>12</v>
      </c>
      <c r="E3823" s="610" t="s">
        <v>379</v>
      </c>
      <c r="F3823" s="610" t="s">
        <v>379</v>
      </c>
      <c r="G3823" s="614">
        <v>0</v>
      </c>
      <c r="H3823" s="611"/>
    </row>
    <row r="3824" spans="1:8" ht="15.75">
      <c r="A3824" s="608" t="s">
        <v>649</v>
      </c>
      <c r="B3824" s="613" t="s">
        <v>650</v>
      </c>
      <c r="C3824" s="640" t="s">
        <v>13</v>
      </c>
      <c r="D3824" s="640" t="s">
        <v>882</v>
      </c>
      <c r="E3824" s="610" t="s">
        <v>379</v>
      </c>
      <c r="F3824" s="610" t="s">
        <v>379</v>
      </c>
      <c r="G3824" s="614">
        <v>0</v>
      </c>
      <c r="H3824" s="611"/>
    </row>
    <row r="3825" spans="1:8" ht="15.75">
      <c r="A3825" s="608" t="s">
        <v>653</v>
      </c>
      <c r="B3825" s="613" t="s">
        <v>654</v>
      </c>
      <c r="C3825" s="640" t="s">
        <v>848</v>
      </c>
      <c r="D3825" s="640" t="s">
        <v>755</v>
      </c>
      <c r="E3825" s="610" t="s">
        <v>379</v>
      </c>
      <c r="F3825" s="610" t="s">
        <v>379</v>
      </c>
      <c r="G3825" s="614">
        <v>0</v>
      </c>
      <c r="H3825" s="611"/>
    </row>
    <row r="3826" spans="1:8" ht="15.75">
      <c r="A3826" s="608">
        <v>4</v>
      </c>
      <c r="B3826" s="706" t="s">
        <v>656</v>
      </c>
      <c r="C3826" s="706"/>
      <c r="D3826" s="706"/>
      <c r="E3826" s="706"/>
      <c r="F3826" s="706"/>
      <c r="G3826" s="706"/>
      <c r="H3826" s="706"/>
    </row>
    <row r="3827" spans="1:8" ht="31.5">
      <c r="A3827" s="608" t="s">
        <v>657</v>
      </c>
      <c r="B3827" s="612" t="s">
        <v>658</v>
      </c>
      <c r="C3827" s="610" t="s">
        <v>379</v>
      </c>
      <c r="D3827" s="610" t="s">
        <v>379</v>
      </c>
      <c r="E3827" s="610" t="s">
        <v>379</v>
      </c>
      <c r="F3827" s="610" t="s">
        <v>379</v>
      </c>
      <c r="G3827" s="610" t="s">
        <v>379</v>
      </c>
      <c r="H3827" s="611" t="s">
        <v>626</v>
      </c>
    </row>
    <row r="3828" spans="1:8" ht="47.25">
      <c r="A3828" s="608" t="s">
        <v>659</v>
      </c>
      <c r="B3828" s="612" t="s">
        <v>660</v>
      </c>
      <c r="C3828" s="610" t="s">
        <v>379</v>
      </c>
      <c r="D3828" s="610" t="s">
        <v>379</v>
      </c>
      <c r="E3828" s="610" t="s">
        <v>379</v>
      </c>
      <c r="F3828" s="610" t="s">
        <v>379</v>
      </c>
      <c r="G3828" s="610" t="s">
        <v>379</v>
      </c>
      <c r="H3828" s="611" t="s">
        <v>626</v>
      </c>
    </row>
    <row r="3829" spans="1:8" ht="31.5">
      <c r="A3829" s="608" t="s">
        <v>661</v>
      </c>
      <c r="B3829" s="613" t="s">
        <v>662</v>
      </c>
      <c r="C3829" s="610" t="s">
        <v>379</v>
      </c>
      <c r="D3829" s="610" t="s">
        <v>379</v>
      </c>
      <c r="E3829" s="610" t="s">
        <v>379</v>
      </c>
      <c r="F3829" s="610" t="s">
        <v>379</v>
      </c>
      <c r="G3829" s="610" t="s">
        <v>379</v>
      </c>
      <c r="H3829" s="611" t="s">
        <v>626</v>
      </c>
    </row>
    <row r="3830" spans="1:8" ht="32.25" thickBot="1">
      <c r="A3830" s="615" t="s">
        <v>663</v>
      </c>
      <c r="B3830" s="616" t="s">
        <v>664</v>
      </c>
      <c r="C3830" s="617" t="s">
        <v>379</v>
      </c>
      <c r="D3830" s="617" t="s">
        <v>379</v>
      </c>
      <c r="E3830" s="617" t="s">
        <v>379</v>
      </c>
      <c r="F3830" s="617" t="s">
        <v>379</v>
      </c>
      <c r="G3830" s="617" t="s">
        <v>379</v>
      </c>
      <c r="H3830" s="618" t="s">
        <v>626</v>
      </c>
    </row>
    <row r="3831" spans="1:8" ht="15.75">
      <c r="A3831" s="619"/>
      <c r="B3831" s="620"/>
      <c r="C3831" s="621"/>
      <c r="D3831" s="621"/>
      <c r="E3831" s="621"/>
      <c r="F3831" s="621"/>
      <c r="G3831" s="621"/>
      <c r="H3831" s="148"/>
    </row>
    <row r="3832" spans="1:8" ht="15.75">
      <c r="A3832" s="707" t="s">
        <v>665</v>
      </c>
      <c r="B3832" s="707"/>
      <c r="C3832" s="707"/>
      <c r="D3832" s="707"/>
      <c r="E3832" s="707"/>
      <c r="F3832" s="707"/>
      <c r="G3832" s="707"/>
      <c r="H3832" s="707"/>
    </row>
    <row r="3833" spans="1:8" ht="15.75">
      <c r="A3833" s="622"/>
      <c r="B3833" s="622"/>
      <c r="C3833" s="622"/>
      <c r="D3833" s="622"/>
      <c r="E3833" s="622"/>
      <c r="F3833" s="622"/>
      <c r="G3833" s="622"/>
      <c r="H3833" s="622"/>
    </row>
    <row r="3834" spans="1:8" ht="15.75">
      <c r="A3834" s="622"/>
      <c r="B3834" s="622"/>
      <c r="C3834" s="622"/>
      <c r="D3834" s="622"/>
      <c r="E3834" s="622"/>
      <c r="F3834" s="622"/>
      <c r="G3834" s="622"/>
      <c r="H3834" s="622"/>
    </row>
    <row r="3835" spans="1:8" ht="15.75">
      <c r="A3835" s="622"/>
      <c r="B3835" s="622"/>
      <c r="C3835" s="622"/>
      <c r="D3835" s="622"/>
      <c r="E3835" s="622"/>
      <c r="F3835" s="622"/>
      <c r="G3835" s="622"/>
      <c r="H3835" s="622"/>
    </row>
    <row r="3836" ht="15.75">
      <c r="H3836" s="11"/>
    </row>
    <row r="3837" spans="1:8" ht="15.75">
      <c r="A3837" s="713" t="s">
        <v>612</v>
      </c>
      <c r="B3837" s="713"/>
      <c r="C3837" s="713"/>
      <c r="D3837" s="713"/>
      <c r="E3837" s="713"/>
      <c r="F3837" s="713"/>
      <c r="G3837" s="713"/>
      <c r="H3837" s="713"/>
    </row>
    <row r="3838" spans="1:8" ht="15.75">
      <c r="A3838" s="713" t="s">
        <v>613</v>
      </c>
      <c r="B3838" s="713"/>
      <c r="C3838" s="713"/>
      <c r="D3838" s="713"/>
      <c r="E3838" s="713"/>
      <c r="F3838" s="713"/>
      <c r="G3838" s="713"/>
      <c r="H3838" s="713"/>
    </row>
    <row r="3839" ht="15.75">
      <c r="H3839" s="11" t="s">
        <v>43</v>
      </c>
    </row>
    <row r="3840" ht="15.75">
      <c r="H3840" s="11" t="s">
        <v>44</v>
      </c>
    </row>
    <row r="3841" ht="15.75">
      <c r="H3841" s="11" t="s">
        <v>45</v>
      </c>
    </row>
    <row r="3842" ht="15.75">
      <c r="H3842" s="594" t="s">
        <v>614</v>
      </c>
    </row>
    <row r="3843" ht="15.75">
      <c r="H3843" s="11" t="s">
        <v>615</v>
      </c>
    </row>
    <row r="3844" ht="15.75">
      <c r="H3844" s="11" t="s">
        <v>47</v>
      </c>
    </row>
    <row r="3845" ht="15.75">
      <c r="A3845" s="595"/>
    </row>
    <row r="3846" spans="1:8" ht="15.75">
      <c r="A3846" s="4" t="s">
        <v>669</v>
      </c>
      <c r="B3846" s="4"/>
      <c r="C3846" s="4"/>
      <c r="D3846" s="4"/>
      <c r="E3846" s="4"/>
      <c r="F3846" s="4"/>
      <c r="G3846" s="4"/>
      <c r="H3846" s="4"/>
    </row>
    <row r="3847" spans="1:8" ht="12.75" customHeight="1">
      <c r="A3847" s="717" t="s">
        <v>0</v>
      </c>
      <c r="B3847" s="714"/>
      <c r="C3847" s="714"/>
      <c r="D3847" s="714"/>
      <c r="E3847" s="714"/>
      <c r="F3847" s="714"/>
      <c r="G3847" s="714"/>
      <c r="H3847" s="714"/>
    </row>
    <row r="3848" spans="1:8" ht="16.5" thickBot="1">
      <c r="A3848" s="597"/>
      <c r="B3848" s="597"/>
      <c r="C3848" s="598"/>
      <c r="D3848" s="598"/>
      <c r="E3848" s="598"/>
      <c r="F3848" s="598"/>
      <c r="G3848" s="598"/>
      <c r="H3848" s="598"/>
    </row>
    <row r="3849" spans="1:8" ht="12.75" customHeight="1">
      <c r="A3849" s="708" t="s">
        <v>617</v>
      </c>
      <c r="B3849" s="710" t="s">
        <v>618</v>
      </c>
      <c r="C3849" s="711" t="s">
        <v>619</v>
      </c>
      <c r="D3849" s="711"/>
      <c r="E3849" s="711"/>
      <c r="F3849" s="711"/>
      <c r="G3849" s="712" t="s">
        <v>620</v>
      </c>
      <c r="H3849" s="708" t="s">
        <v>621</v>
      </c>
    </row>
    <row r="3850" spans="1:8" ht="15.75">
      <c r="A3850" s="708"/>
      <c r="B3850" s="710"/>
      <c r="C3850" s="711"/>
      <c r="D3850" s="711"/>
      <c r="E3850" s="711"/>
      <c r="F3850" s="711"/>
      <c r="G3850" s="712"/>
      <c r="H3850" s="708"/>
    </row>
    <row r="3851" spans="1:8" ht="31.5">
      <c r="A3851" s="708"/>
      <c r="B3851" s="710"/>
      <c r="C3851" s="601" t="s">
        <v>622</v>
      </c>
      <c r="D3851" s="601" t="s">
        <v>623</v>
      </c>
      <c r="E3851" s="602" t="s">
        <v>622</v>
      </c>
      <c r="F3851" s="603" t="s">
        <v>623</v>
      </c>
      <c r="G3851" s="712"/>
      <c r="H3851" s="708"/>
    </row>
    <row r="3852" spans="1:8" ht="15.75">
      <c r="A3852" s="599">
        <v>1</v>
      </c>
      <c r="B3852" s="599">
        <v>2</v>
      </c>
      <c r="C3852" s="604">
        <v>3</v>
      </c>
      <c r="D3852" s="604">
        <v>4</v>
      </c>
      <c r="E3852" s="605"/>
      <c r="F3852" s="606"/>
      <c r="G3852" s="600">
        <v>5</v>
      </c>
      <c r="H3852" s="599">
        <v>6</v>
      </c>
    </row>
    <row r="3853" spans="1:8" ht="12.75" customHeight="1">
      <c r="A3853" s="607">
        <v>1</v>
      </c>
      <c r="B3853" s="709" t="s">
        <v>624</v>
      </c>
      <c r="C3853" s="709"/>
      <c r="D3853" s="709"/>
      <c r="E3853" s="709"/>
      <c r="F3853" s="709"/>
      <c r="G3853" s="709"/>
      <c r="H3853" s="709"/>
    </row>
    <row r="3854" spans="1:8" ht="15.75">
      <c r="A3854" s="608" t="s">
        <v>74</v>
      </c>
      <c r="B3854" s="609" t="s">
        <v>625</v>
      </c>
      <c r="C3854" s="610" t="s">
        <v>379</v>
      </c>
      <c r="D3854" s="610" t="s">
        <v>379</v>
      </c>
      <c r="E3854" s="610" t="s">
        <v>379</v>
      </c>
      <c r="F3854" s="610" t="s">
        <v>379</v>
      </c>
      <c r="G3854" s="610" t="s">
        <v>379</v>
      </c>
      <c r="H3854" s="611" t="s">
        <v>626</v>
      </c>
    </row>
    <row r="3855" spans="1:8" ht="15.75">
      <c r="A3855" s="608" t="s">
        <v>313</v>
      </c>
      <c r="B3855" s="609" t="s">
        <v>627</v>
      </c>
      <c r="C3855" s="610" t="s">
        <v>379</v>
      </c>
      <c r="D3855" s="610" t="s">
        <v>379</v>
      </c>
      <c r="E3855" s="610" t="s">
        <v>379</v>
      </c>
      <c r="F3855" s="610" t="s">
        <v>379</v>
      </c>
      <c r="G3855" s="610" t="s">
        <v>379</v>
      </c>
      <c r="H3855" s="611" t="s">
        <v>626</v>
      </c>
    </row>
    <row r="3856" spans="1:8" ht="31.5">
      <c r="A3856" s="608" t="s">
        <v>315</v>
      </c>
      <c r="B3856" s="612" t="s">
        <v>628</v>
      </c>
      <c r="C3856" s="610" t="s">
        <v>379</v>
      </c>
      <c r="D3856" s="610" t="s">
        <v>379</v>
      </c>
      <c r="E3856" s="610" t="s">
        <v>379</v>
      </c>
      <c r="F3856" s="610" t="s">
        <v>379</v>
      </c>
      <c r="G3856" s="610" t="s">
        <v>379</v>
      </c>
      <c r="H3856" s="611" t="s">
        <v>626</v>
      </c>
    </row>
    <row r="3857" spans="1:8" ht="47.25">
      <c r="A3857" s="608" t="s">
        <v>317</v>
      </c>
      <c r="B3857" s="612" t="s">
        <v>629</v>
      </c>
      <c r="C3857" s="610" t="s">
        <v>379</v>
      </c>
      <c r="D3857" s="610" t="s">
        <v>379</v>
      </c>
      <c r="E3857" s="610" t="s">
        <v>379</v>
      </c>
      <c r="F3857" s="610" t="s">
        <v>379</v>
      </c>
      <c r="G3857" s="610" t="s">
        <v>379</v>
      </c>
      <c r="H3857" s="611" t="s">
        <v>626</v>
      </c>
    </row>
    <row r="3858" spans="1:8" ht="15.75">
      <c r="A3858" s="608" t="s">
        <v>630</v>
      </c>
      <c r="B3858" s="613" t="s">
        <v>631</v>
      </c>
      <c r="C3858" s="610" t="s">
        <v>379</v>
      </c>
      <c r="D3858" s="610" t="s">
        <v>379</v>
      </c>
      <c r="E3858" s="610" t="s">
        <v>379</v>
      </c>
      <c r="F3858" s="610" t="s">
        <v>379</v>
      </c>
      <c r="G3858" s="610" t="s">
        <v>379</v>
      </c>
      <c r="H3858" s="611" t="s">
        <v>626</v>
      </c>
    </row>
    <row r="3859" spans="1:8" ht="15.75">
      <c r="A3859" s="608" t="s">
        <v>632</v>
      </c>
      <c r="B3859" s="613" t="s">
        <v>633</v>
      </c>
      <c r="C3859" s="610" t="s">
        <v>379</v>
      </c>
      <c r="D3859" s="610" t="s">
        <v>379</v>
      </c>
      <c r="E3859" s="610" t="s">
        <v>379</v>
      </c>
      <c r="F3859" s="610" t="s">
        <v>379</v>
      </c>
      <c r="G3859" s="610" t="s">
        <v>379</v>
      </c>
      <c r="H3859" s="611" t="s">
        <v>626</v>
      </c>
    </row>
    <row r="3860" spans="1:8" ht="12.75" customHeight="1">
      <c r="A3860" s="608">
        <v>2</v>
      </c>
      <c r="B3860" s="706" t="s">
        <v>634</v>
      </c>
      <c r="C3860" s="706"/>
      <c r="D3860" s="706"/>
      <c r="E3860" s="706"/>
      <c r="F3860" s="706"/>
      <c r="G3860" s="706"/>
      <c r="H3860" s="706"/>
    </row>
    <row r="3861" spans="1:8" ht="31.5">
      <c r="A3861" s="608" t="s">
        <v>321</v>
      </c>
      <c r="B3861" s="612" t="s">
        <v>635</v>
      </c>
      <c r="C3861" s="610" t="s">
        <v>827</v>
      </c>
      <c r="D3861" s="610" t="s">
        <v>723</v>
      </c>
      <c r="E3861" s="610" t="s">
        <v>379</v>
      </c>
      <c r="F3861" s="610" t="s">
        <v>379</v>
      </c>
      <c r="G3861" s="614">
        <v>0</v>
      </c>
      <c r="H3861" s="611"/>
    </row>
    <row r="3862" spans="1:8" ht="47.25">
      <c r="A3862" s="608" t="s">
        <v>325</v>
      </c>
      <c r="B3862" s="612" t="s">
        <v>638</v>
      </c>
      <c r="C3862" s="610" t="s">
        <v>379</v>
      </c>
      <c r="D3862" s="610" t="s">
        <v>379</v>
      </c>
      <c r="E3862" s="610" t="s">
        <v>379</v>
      </c>
      <c r="F3862" s="610" t="s">
        <v>379</v>
      </c>
      <c r="G3862" s="610" t="s">
        <v>379</v>
      </c>
      <c r="H3862" s="611" t="s">
        <v>626</v>
      </c>
    </row>
    <row r="3863" spans="1:8" ht="31.5">
      <c r="A3863" s="608" t="s">
        <v>639</v>
      </c>
      <c r="B3863" s="612" t="s">
        <v>640</v>
      </c>
      <c r="C3863" s="610" t="s">
        <v>379</v>
      </c>
      <c r="D3863" s="610" t="s">
        <v>379</v>
      </c>
      <c r="E3863" s="610" t="s">
        <v>379</v>
      </c>
      <c r="F3863" s="610" t="s">
        <v>379</v>
      </c>
      <c r="G3863" s="610" t="s">
        <v>379</v>
      </c>
      <c r="H3863" s="611" t="s">
        <v>626</v>
      </c>
    </row>
    <row r="3864" spans="1:8" ht="12.75" customHeight="1">
      <c r="A3864" s="608">
        <v>3</v>
      </c>
      <c r="B3864" s="706" t="s">
        <v>641</v>
      </c>
      <c r="C3864" s="706"/>
      <c r="D3864" s="706"/>
      <c r="E3864" s="706"/>
      <c r="F3864" s="706"/>
      <c r="G3864" s="706"/>
      <c r="H3864" s="706"/>
    </row>
    <row r="3865" spans="1:8" ht="31.5">
      <c r="A3865" s="608" t="s">
        <v>378</v>
      </c>
      <c r="B3865" s="613" t="s">
        <v>642</v>
      </c>
      <c r="C3865" s="610" t="s">
        <v>379</v>
      </c>
      <c r="D3865" s="610" t="s">
        <v>379</v>
      </c>
      <c r="E3865" s="610" t="s">
        <v>379</v>
      </c>
      <c r="F3865" s="610" t="s">
        <v>379</v>
      </c>
      <c r="G3865" s="610" t="s">
        <v>379</v>
      </c>
      <c r="H3865" s="611" t="s">
        <v>626</v>
      </c>
    </row>
    <row r="3866" spans="1:8" ht="15.75">
      <c r="A3866" s="608" t="s">
        <v>643</v>
      </c>
      <c r="B3866" s="613" t="s">
        <v>644</v>
      </c>
      <c r="C3866" s="610" t="s">
        <v>827</v>
      </c>
      <c r="D3866" s="610" t="s">
        <v>828</v>
      </c>
      <c r="E3866" s="610" t="s">
        <v>379</v>
      </c>
      <c r="F3866" s="610" t="s">
        <v>379</v>
      </c>
      <c r="G3866" s="614">
        <v>0</v>
      </c>
      <c r="H3866" s="611"/>
    </row>
    <row r="3867" spans="1:8" ht="15.75">
      <c r="A3867" s="608" t="s">
        <v>380</v>
      </c>
      <c r="B3867" s="613" t="s">
        <v>646</v>
      </c>
      <c r="C3867" s="610" t="s">
        <v>828</v>
      </c>
      <c r="D3867" s="610" t="s">
        <v>829</v>
      </c>
      <c r="E3867" s="610" t="s">
        <v>379</v>
      </c>
      <c r="F3867" s="610" t="s">
        <v>379</v>
      </c>
      <c r="G3867" s="614">
        <v>0</v>
      </c>
      <c r="H3867" s="611"/>
    </row>
    <row r="3868" spans="1:8" ht="15.75">
      <c r="A3868" s="608" t="s">
        <v>649</v>
      </c>
      <c r="B3868" s="613" t="s">
        <v>650</v>
      </c>
      <c r="C3868" s="610" t="s">
        <v>829</v>
      </c>
      <c r="D3868" s="610" t="s">
        <v>751</v>
      </c>
      <c r="E3868" s="610" t="s">
        <v>379</v>
      </c>
      <c r="F3868" s="610" t="s">
        <v>379</v>
      </c>
      <c r="G3868" s="614">
        <v>0</v>
      </c>
      <c r="H3868" s="611"/>
    </row>
    <row r="3869" spans="1:8" ht="15.75">
      <c r="A3869" s="608" t="s">
        <v>653</v>
      </c>
      <c r="B3869" s="613" t="s">
        <v>654</v>
      </c>
      <c r="C3869" s="610" t="s">
        <v>751</v>
      </c>
      <c r="D3869" s="610" t="s">
        <v>723</v>
      </c>
      <c r="E3869" s="610" t="s">
        <v>379</v>
      </c>
      <c r="F3869" s="610" t="s">
        <v>379</v>
      </c>
      <c r="G3869" s="614">
        <v>0</v>
      </c>
      <c r="H3869" s="611"/>
    </row>
    <row r="3870" spans="1:8" ht="12.75" customHeight="1">
      <c r="A3870" s="608">
        <v>4</v>
      </c>
      <c r="B3870" s="706" t="s">
        <v>656</v>
      </c>
      <c r="C3870" s="706"/>
      <c r="D3870" s="706"/>
      <c r="E3870" s="706"/>
      <c r="F3870" s="706"/>
      <c r="G3870" s="706"/>
      <c r="H3870" s="706"/>
    </row>
    <row r="3871" spans="1:8" ht="31.5">
      <c r="A3871" s="608" t="s">
        <v>657</v>
      </c>
      <c r="B3871" s="612" t="s">
        <v>658</v>
      </c>
      <c r="C3871" s="610" t="s">
        <v>379</v>
      </c>
      <c r="D3871" s="610" t="s">
        <v>379</v>
      </c>
      <c r="E3871" s="610" t="s">
        <v>379</v>
      </c>
      <c r="F3871" s="610" t="s">
        <v>379</v>
      </c>
      <c r="G3871" s="610" t="s">
        <v>379</v>
      </c>
      <c r="H3871" s="611" t="s">
        <v>626</v>
      </c>
    </row>
    <row r="3872" spans="1:8" ht="47.25">
      <c r="A3872" s="608" t="s">
        <v>659</v>
      </c>
      <c r="B3872" s="612" t="s">
        <v>660</v>
      </c>
      <c r="C3872" s="610" t="s">
        <v>379</v>
      </c>
      <c r="D3872" s="610" t="s">
        <v>379</v>
      </c>
      <c r="E3872" s="610" t="s">
        <v>379</v>
      </c>
      <c r="F3872" s="610" t="s">
        <v>379</v>
      </c>
      <c r="G3872" s="610" t="s">
        <v>379</v>
      </c>
      <c r="H3872" s="611" t="s">
        <v>626</v>
      </c>
    </row>
    <row r="3873" spans="1:8" ht="31.5">
      <c r="A3873" s="608" t="s">
        <v>661</v>
      </c>
      <c r="B3873" s="613" t="s">
        <v>662</v>
      </c>
      <c r="C3873" s="610" t="s">
        <v>379</v>
      </c>
      <c r="D3873" s="610" t="s">
        <v>379</v>
      </c>
      <c r="E3873" s="610" t="s">
        <v>379</v>
      </c>
      <c r="F3873" s="610" t="s">
        <v>379</v>
      </c>
      <c r="G3873" s="610" t="s">
        <v>379</v>
      </c>
      <c r="H3873" s="611" t="s">
        <v>626</v>
      </c>
    </row>
    <row r="3874" spans="1:8" ht="31.5">
      <c r="A3874" s="615" t="s">
        <v>663</v>
      </c>
      <c r="B3874" s="616" t="s">
        <v>664</v>
      </c>
      <c r="C3874" s="617" t="s">
        <v>379</v>
      </c>
      <c r="D3874" s="617" t="s">
        <v>379</v>
      </c>
      <c r="E3874" s="617" t="s">
        <v>379</v>
      </c>
      <c r="F3874" s="617" t="s">
        <v>379</v>
      </c>
      <c r="G3874" s="617" t="s">
        <v>379</v>
      </c>
      <c r="H3874" s="618" t="s">
        <v>626</v>
      </c>
    </row>
    <row r="3875" spans="1:8" ht="15.75">
      <c r="A3875" s="619"/>
      <c r="B3875" s="620"/>
      <c r="C3875" s="621"/>
      <c r="D3875" s="621"/>
      <c r="E3875" s="621"/>
      <c r="F3875" s="621"/>
      <c r="G3875" s="621"/>
      <c r="H3875" s="148"/>
    </row>
    <row r="3876" spans="1:8" ht="12.75" customHeight="1">
      <c r="A3876" s="707" t="s">
        <v>665</v>
      </c>
      <c r="B3876" s="707"/>
      <c r="C3876" s="707"/>
      <c r="D3876" s="707"/>
      <c r="E3876" s="707"/>
      <c r="F3876" s="707"/>
      <c r="G3876" s="707"/>
      <c r="H3876" s="707"/>
    </row>
    <row r="3879" ht="15.75">
      <c r="H3879" s="11" t="s">
        <v>609</v>
      </c>
    </row>
    <row r="3880" ht="15.75">
      <c r="H3880" s="11" t="s">
        <v>610</v>
      </c>
    </row>
    <row r="3881" ht="15.75">
      <c r="H3881" s="11" t="s">
        <v>611</v>
      </c>
    </row>
    <row r="3882" ht="15.75">
      <c r="H3882" s="11"/>
    </row>
    <row r="3883" spans="1:8" ht="12.75" customHeight="1">
      <c r="A3883" s="713" t="s">
        <v>612</v>
      </c>
      <c r="B3883" s="713"/>
      <c r="C3883" s="713"/>
      <c r="D3883" s="713"/>
      <c r="E3883" s="713"/>
      <c r="F3883" s="713"/>
      <c r="G3883" s="713"/>
      <c r="H3883" s="713"/>
    </row>
    <row r="3884" spans="1:8" ht="12.75" customHeight="1">
      <c r="A3884" s="713" t="s">
        <v>613</v>
      </c>
      <c r="B3884" s="713"/>
      <c r="C3884" s="713"/>
      <c r="D3884" s="713"/>
      <c r="E3884" s="713"/>
      <c r="F3884" s="713"/>
      <c r="G3884" s="713"/>
      <c r="H3884" s="713"/>
    </row>
    <row r="3885" ht="15.75">
      <c r="H3885" s="11" t="s">
        <v>43</v>
      </c>
    </row>
    <row r="3886" ht="15.75">
      <c r="H3886" s="11" t="s">
        <v>44</v>
      </c>
    </row>
    <row r="3887" ht="15.75">
      <c r="H3887" s="11" t="s">
        <v>45</v>
      </c>
    </row>
    <row r="3888" ht="15.75">
      <c r="H3888" s="594" t="s">
        <v>614</v>
      </c>
    </row>
    <row r="3889" ht="15.75">
      <c r="H3889" s="11" t="s">
        <v>615</v>
      </c>
    </row>
    <row r="3890" ht="15.75">
      <c r="H3890" s="11" t="s">
        <v>47</v>
      </c>
    </row>
    <row r="3891" ht="15.75">
      <c r="A3891" s="595"/>
    </row>
    <row r="3892" ht="15.75">
      <c r="A3892" s="3" t="s">
        <v>830</v>
      </c>
    </row>
    <row r="3893" spans="1:8" ht="12.75" customHeight="1">
      <c r="A3893" s="717" t="s">
        <v>0</v>
      </c>
      <c r="B3893" s="714"/>
      <c r="C3893" s="714"/>
      <c r="D3893" s="714"/>
      <c r="E3893" s="714"/>
      <c r="F3893" s="714"/>
      <c r="G3893" s="714"/>
      <c r="H3893" s="714"/>
    </row>
    <row r="3894" spans="1:8" ht="16.5" thickBot="1">
      <c r="A3894" s="597"/>
      <c r="B3894" s="597"/>
      <c r="C3894" s="598"/>
      <c r="D3894" s="598"/>
      <c r="E3894" s="598"/>
      <c r="F3894" s="598"/>
      <c r="G3894" s="598"/>
      <c r="H3894" s="598"/>
    </row>
    <row r="3895" spans="1:8" ht="12.75" customHeight="1">
      <c r="A3895" s="708" t="s">
        <v>617</v>
      </c>
      <c r="B3895" s="710" t="s">
        <v>618</v>
      </c>
      <c r="C3895" s="711" t="s">
        <v>619</v>
      </c>
      <c r="D3895" s="711"/>
      <c r="E3895" s="711"/>
      <c r="F3895" s="711"/>
      <c r="G3895" s="712" t="s">
        <v>620</v>
      </c>
      <c r="H3895" s="708" t="s">
        <v>621</v>
      </c>
    </row>
    <row r="3896" spans="1:8" ht="15.75">
      <c r="A3896" s="708"/>
      <c r="B3896" s="710"/>
      <c r="C3896" s="711"/>
      <c r="D3896" s="711"/>
      <c r="E3896" s="711"/>
      <c r="F3896" s="711"/>
      <c r="G3896" s="712"/>
      <c r="H3896" s="708"/>
    </row>
    <row r="3897" spans="1:8" ht="31.5">
      <c r="A3897" s="708"/>
      <c r="B3897" s="710"/>
      <c r="C3897" s="601" t="s">
        <v>622</v>
      </c>
      <c r="D3897" s="601" t="s">
        <v>623</v>
      </c>
      <c r="E3897" s="602" t="s">
        <v>622</v>
      </c>
      <c r="F3897" s="603" t="s">
        <v>623</v>
      </c>
      <c r="G3897" s="712"/>
      <c r="H3897" s="708"/>
    </row>
    <row r="3898" spans="1:8" ht="15.75">
      <c r="A3898" s="599">
        <v>1</v>
      </c>
      <c r="B3898" s="599">
        <v>2</v>
      </c>
      <c r="C3898" s="604">
        <v>3</v>
      </c>
      <c r="D3898" s="604">
        <v>4</v>
      </c>
      <c r="E3898" s="605"/>
      <c r="F3898" s="606"/>
      <c r="G3898" s="600">
        <v>5</v>
      </c>
      <c r="H3898" s="599">
        <v>6</v>
      </c>
    </row>
    <row r="3899" spans="1:8" ht="12.75" customHeight="1">
      <c r="A3899" s="607">
        <v>1</v>
      </c>
      <c r="B3899" s="709" t="s">
        <v>624</v>
      </c>
      <c r="C3899" s="709"/>
      <c r="D3899" s="709"/>
      <c r="E3899" s="709"/>
      <c r="F3899" s="709"/>
      <c r="G3899" s="709"/>
      <c r="H3899" s="709"/>
    </row>
    <row r="3900" spans="1:8" ht="15.75">
      <c r="A3900" s="608" t="s">
        <v>74</v>
      </c>
      <c r="B3900" s="609" t="s">
        <v>625</v>
      </c>
      <c r="C3900" s="610" t="s">
        <v>379</v>
      </c>
      <c r="D3900" s="610" t="s">
        <v>379</v>
      </c>
      <c r="E3900" s="610" t="s">
        <v>379</v>
      </c>
      <c r="F3900" s="610" t="s">
        <v>379</v>
      </c>
      <c r="G3900" s="610" t="s">
        <v>379</v>
      </c>
      <c r="H3900" s="611" t="s">
        <v>626</v>
      </c>
    </row>
    <row r="3901" spans="1:8" ht="15.75">
      <c r="A3901" s="608" t="s">
        <v>313</v>
      </c>
      <c r="B3901" s="609" t="s">
        <v>627</v>
      </c>
      <c r="C3901" s="610" t="s">
        <v>379</v>
      </c>
      <c r="D3901" s="610" t="s">
        <v>379</v>
      </c>
      <c r="E3901" s="610" t="s">
        <v>379</v>
      </c>
      <c r="F3901" s="610" t="s">
        <v>379</v>
      </c>
      <c r="G3901" s="610" t="s">
        <v>379</v>
      </c>
      <c r="H3901" s="611" t="s">
        <v>626</v>
      </c>
    </row>
    <row r="3902" spans="1:8" ht="31.5">
      <c r="A3902" s="608" t="s">
        <v>315</v>
      </c>
      <c r="B3902" s="612" t="s">
        <v>628</v>
      </c>
      <c r="C3902" s="610" t="s">
        <v>379</v>
      </c>
      <c r="D3902" s="610" t="s">
        <v>379</v>
      </c>
      <c r="E3902" s="610" t="s">
        <v>379</v>
      </c>
      <c r="F3902" s="610" t="s">
        <v>379</v>
      </c>
      <c r="G3902" s="610" t="s">
        <v>379</v>
      </c>
      <c r="H3902" s="611" t="s">
        <v>626</v>
      </c>
    </row>
    <row r="3903" spans="1:8" ht="47.25">
      <c r="A3903" s="608" t="s">
        <v>317</v>
      </c>
      <c r="B3903" s="612" t="s">
        <v>629</v>
      </c>
      <c r="C3903" s="610" t="s">
        <v>379</v>
      </c>
      <c r="D3903" s="610" t="s">
        <v>379</v>
      </c>
      <c r="E3903" s="610" t="s">
        <v>379</v>
      </c>
      <c r="F3903" s="610" t="s">
        <v>379</v>
      </c>
      <c r="G3903" s="610" t="s">
        <v>379</v>
      </c>
      <c r="H3903" s="611" t="s">
        <v>626</v>
      </c>
    </row>
    <row r="3904" spans="1:8" ht="15.75">
      <c r="A3904" s="608" t="s">
        <v>630</v>
      </c>
      <c r="B3904" s="613" t="s">
        <v>631</v>
      </c>
      <c r="C3904" s="610" t="s">
        <v>379</v>
      </c>
      <c r="D3904" s="610" t="s">
        <v>379</v>
      </c>
      <c r="E3904" s="610" t="s">
        <v>379</v>
      </c>
      <c r="F3904" s="610" t="s">
        <v>379</v>
      </c>
      <c r="G3904" s="610" t="s">
        <v>379</v>
      </c>
      <c r="H3904" s="611" t="s">
        <v>626</v>
      </c>
    </row>
    <row r="3905" spans="1:8" ht="15.75">
      <c r="A3905" s="608" t="s">
        <v>632</v>
      </c>
      <c r="B3905" s="613" t="s">
        <v>633</v>
      </c>
      <c r="C3905" s="610" t="s">
        <v>379</v>
      </c>
      <c r="D3905" s="610" t="s">
        <v>379</v>
      </c>
      <c r="E3905" s="610" t="s">
        <v>379</v>
      </c>
      <c r="F3905" s="610" t="s">
        <v>379</v>
      </c>
      <c r="G3905" s="610" t="s">
        <v>379</v>
      </c>
      <c r="H3905" s="611" t="s">
        <v>626</v>
      </c>
    </row>
    <row r="3906" spans="1:8" ht="12.75" customHeight="1">
      <c r="A3906" s="608">
        <v>2</v>
      </c>
      <c r="B3906" s="706" t="s">
        <v>634</v>
      </c>
      <c r="C3906" s="706"/>
      <c r="D3906" s="706"/>
      <c r="E3906" s="706"/>
      <c r="F3906" s="706"/>
      <c r="G3906" s="706"/>
      <c r="H3906" s="706"/>
    </row>
    <row r="3907" spans="1:8" ht="31.5">
      <c r="A3907" s="608" t="s">
        <v>321</v>
      </c>
      <c r="B3907" s="612" t="s">
        <v>635</v>
      </c>
      <c r="C3907" s="610" t="s">
        <v>827</v>
      </c>
      <c r="D3907" s="610" t="s">
        <v>723</v>
      </c>
      <c r="E3907" s="610" t="s">
        <v>379</v>
      </c>
      <c r="F3907" s="610" t="s">
        <v>379</v>
      </c>
      <c r="G3907" s="614">
        <v>0</v>
      </c>
      <c r="H3907" s="611"/>
    </row>
    <row r="3908" spans="1:8" ht="47.25">
      <c r="A3908" s="608" t="s">
        <v>325</v>
      </c>
      <c r="B3908" s="612" t="s">
        <v>638</v>
      </c>
      <c r="C3908" s="610" t="s">
        <v>379</v>
      </c>
      <c r="D3908" s="610" t="s">
        <v>379</v>
      </c>
      <c r="E3908" s="610" t="s">
        <v>379</v>
      </c>
      <c r="F3908" s="610" t="s">
        <v>379</v>
      </c>
      <c r="G3908" s="610" t="s">
        <v>379</v>
      </c>
      <c r="H3908" s="611" t="s">
        <v>626</v>
      </c>
    </row>
    <row r="3909" spans="1:8" ht="31.5">
      <c r="A3909" s="608" t="s">
        <v>639</v>
      </c>
      <c r="B3909" s="612" t="s">
        <v>640</v>
      </c>
      <c r="C3909" s="610" t="s">
        <v>379</v>
      </c>
      <c r="D3909" s="610" t="s">
        <v>379</v>
      </c>
      <c r="E3909" s="610" t="s">
        <v>379</v>
      </c>
      <c r="F3909" s="610" t="s">
        <v>379</v>
      </c>
      <c r="G3909" s="610" t="s">
        <v>379</v>
      </c>
      <c r="H3909" s="611" t="s">
        <v>626</v>
      </c>
    </row>
    <row r="3910" spans="1:8" ht="12.75" customHeight="1">
      <c r="A3910" s="608">
        <v>3</v>
      </c>
      <c r="B3910" s="706" t="s">
        <v>641</v>
      </c>
      <c r="C3910" s="706"/>
      <c r="D3910" s="706"/>
      <c r="E3910" s="706"/>
      <c r="F3910" s="706"/>
      <c r="G3910" s="706"/>
      <c r="H3910" s="706"/>
    </row>
    <row r="3911" spans="1:8" ht="31.5">
      <c r="A3911" s="608" t="s">
        <v>378</v>
      </c>
      <c r="B3911" s="613" t="s">
        <v>642</v>
      </c>
      <c r="C3911" s="610" t="s">
        <v>379</v>
      </c>
      <c r="D3911" s="610" t="s">
        <v>379</v>
      </c>
      <c r="E3911" s="610" t="s">
        <v>379</v>
      </c>
      <c r="F3911" s="610" t="s">
        <v>379</v>
      </c>
      <c r="G3911" s="610" t="s">
        <v>379</v>
      </c>
      <c r="H3911" s="611" t="s">
        <v>626</v>
      </c>
    </row>
    <row r="3912" spans="1:8" ht="15.75">
      <c r="A3912" s="608" t="s">
        <v>643</v>
      </c>
      <c r="B3912" s="613" t="s">
        <v>644</v>
      </c>
      <c r="C3912" s="610" t="s">
        <v>827</v>
      </c>
      <c r="D3912" s="610" t="s">
        <v>828</v>
      </c>
      <c r="E3912" s="610" t="s">
        <v>379</v>
      </c>
      <c r="F3912" s="610" t="s">
        <v>379</v>
      </c>
      <c r="G3912" s="614">
        <v>0</v>
      </c>
      <c r="H3912" s="611"/>
    </row>
    <row r="3913" spans="1:8" ht="15.75">
      <c r="A3913" s="608" t="s">
        <v>380</v>
      </c>
      <c r="B3913" s="613" t="s">
        <v>646</v>
      </c>
      <c r="C3913" s="610" t="s">
        <v>828</v>
      </c>
      <c r="D3913" s="610" t="s">
        <v>829</v>
      </c>
      <c r="E3913" s="610" t="s">
        <v>379</v>
      </c>
      <c r="F3913" s="610" t="s">
        <v>379</v>
      </c>
      <c r="G3913" s="614">
        <v>0</v>
      </c>
      <c r="H3913" s="611"/>
    </row>
    <row r="3914" spans="1:8" ht="15.75">
      <c r="A3914" s="608" t="s">
        <v>649</v>
      </c>
      <c r="B3914" s="613" t="s">
        <v>650</v>
      </c>
      <c r="C3914" s="610" t="s">
        <v>829</v>
      </c>
      <c r="D3914" s="610" t="s">
        <v>751</v>
      </c>
      <c r="E3914" s="610" t="s">
        <v>379</v>
      </c>
      <c r="F3914" s="610" t="s">
        <v>379</v>
      </c>
      <c r="G3914" s="614">
        <v>0</v>
      </c>
      <c r="H3914" s="611"/>
    </row>
    <row r="3915" spans="1:8" ht="15.75">
      <c r="A3915" s="608" t="s">
        <v>653</v>
      </c>
      <c r="B3915" s="613" t="s">
        <v>654</v>
      </c>
      <c r="C3915" s="610" t="s">
        <v>751</v>
      </c>
      <c r="D3915" s="610" t="s">
        <v>723</v>
      </c>
      <c r="E3915" s="610" t="s">
        <v>379</v>
      </c>
      <c r="F3915" s="610" t="s">
        <v>379</v>
      </c>
      <c r="G3915" s="614">
        <v>0</v>
      </c>
      <c r="H3915" s="611"/>
    </row>
    <row r="3916" spans="1:8" ht="12.75" customHeight="1">
      <c r="A3916" s="608">
        <v>4</v>
      </c>
      <c r="B3916" s="706" t="s">
        <v>656</v>
      </c>
      <c r="C3916" s="706"/>
      <c r="D3916" s="706"/>
      <c r="E3916" s="706"/>
      <c r="F3916" s="706"/>
      <c r="G3916" s="706"/>
      <c r="H3916" s="706"/>
    </row>
    <row r="3917" spans="1:8" ht="31.5">
      <c r="A3917" s="608" t="s">
        <v>657</v>
      </c>
      <c r="B3917" s="612" t="s">
        <v>658</v>
      </c>
      <c r="C3917" s="610" t="s">
        <v>379</v>
      </c>
      <c r="D3917" s="610" t="s">
        <v>379</v>
      </c>
      <c r="E3917" s="610" t="s">
        <v>379</v>
      </c>
      <c r="F3917" s="610" t="s">
        <v>379</v>
      </c>
      <c r="G3917" s="610" t="s">
        <v>379</v>
      </c>
      <c r="H3917" s="611" t="s">
        <v>626</v>
      </c>
    </row>
    <row r="3918" spans="1:8" ht="47.25">
      <c r="A3918" s="608" t="s">
        <v>659</v>
      </c>
      <c r="B3918" s="612" t="s">
        <v>660</v>
      </c>
      <c r="C3918" s="610" t="s">
        <v>379</v>
      </c>
      <c r="D3918" s="610" t="s">
        <v>379</v>
      </c>
      <c r="E3918" s="610" t="s">
        <v>379</v>
      </c>
      <c r="F3918" s="610" t="s">
        <v>379</v>
      </c>
      <c r="G3918" s="610" t="s">
        <v>379</v>
      </c>
      <c r="H3918" s="611" t="s">
        <v>626</v>
      </c>
    </row>
    <row r="3919" spans="1:8" ht="31.5">
      <c r="A3919" s="608" t="s">
        <v>661</v>
      </c>
      <c r="B3919" s="613" t="s">
        <v>662</v>
      </c>
      <c r="C3919" s="610" t="s">
        <v>379</v>
      </c>
      <c r="D3919" s="610" t="s">
        <v>379</v>
      </c>
      <c r="E3919" s="610" t="s">
        <v>379</v>
      </c>
      <c r="F3919" s="610" t="s">
        <v>379</v>
      </c>
      <c r="G3919" s="610" t="s">
        <v>379</v>
      </c>
      <c r="H3919" s="611" t="s">
        <v>626</v>
      </c>
    </row>
    <row r="3920" spans="1:8" ht="31.5">
      <c r="A3920" s="615" t="s">
        <v>663</v>
      </c>
      <c r="B3920" s="616" t="s">
        <v>664</v>
      </c>
      <c r="C3920" s="617" t="s">
        <v>379</v>
      </c>
      <c r="D3920" s="617" t="s">
        <v>379</v>
      </c>
      <c r="E3920" s="617" t="s">
        <v>379</v>
      </c>
      <c r="F3920" s="617" t="s">
        <v>379</v>
      </c>
      <c r="G3920" s="617" t="s">
        <v>379</v>
      </c>
      <c r="H3920" s="618" t="s">
        <v>626</v>
      </c>
    </row>
    <row r="3921" spans="1:8" ht="15.75">
      <c r="A3921" s="619"/>
      <c r="B3921" s="620"/>
      <c r="C3921" s="621"/>
      <c r="D3921" s="621"/>
      <c r="E3921" s="621"/>
      <c r="F3921" s="621"/>
      <c r="G3921" s="621"/>
      <c r="H3921" s="148"/>
    </row>
    <row r="3922" spans="1:8" ht="12.75" customHeight="1">
      <c r="A3922" s="707" t="s">
        <v>665</v>
      </c>
      <c r="B3922" s="707"/>
      <c r="C3922" s="707"/>
      <c r="D3922" s="707"/>
      <c r="E3922" s="707"/>
      <c r="F3922" s="707"/>
      <c r="G3922" s="707"/>
      <c r="H3922" s="707"/>
    </row>
    <row r="3925" ht="15.75">
      <c r="H3925" s="11" t="s">
        <v>609</v>
      </c>
    </row>
    <row r="3926" ht="15.75">
      <c r="H3926" s="11" t="s">
        <v>610</v>
      </c>
    </row>
    <row r="3927" ht="15.75">
      <c r="H3927" s="11" t="s">
        <v>611</v>
      </c>
    </row>
    <row r="3928" ht="15.75">
      <c r="H3928" s="11"/>
    </row>
    <row r="3929" spans="1:8" ht="12.75" customHeight="1">
      <c r="A3929" s="713" t="s">
        <v>612</v>
      </c>
      <c r="B3929" s="713"/>
      <c r="C3929" s="713"/>
      <c r="D3929" s="713"/>
      <c r="E3929" s="713"/>
      <c r="F3929" s="713"/>
      <c r="G3929" s="713"/>
      <c r="H3929" s="713"/>
    </row>
    <row r="3930" spans="1:8" ht="12.75" customHeight="1">
      <c r="A3930" s="713" t="s">
        <v>613</v>
      </c>
      <c r="B3930" s="713"/>
      <c r="C3930" s="713"/>
      <c r="D3930" s="713"/>
      <c r="E3930" s="713"/>
      <c r="F3930" s="713"/>
      <c r="G3930" s="713"/>
      <c r="H3930" s="713"/>
    </row>
    <row r="3931" ht="15.75">
      <c r="H3931" s="11" t="s">
        <v>43</v>
      </c>
    </row>
    <row r="3932" ht="15.75">
      <c r="H3932" s="11" t="s">
        <v>44</v>
      </c>
    </row>
    <row r="3933" ht="15.75">
      <c r="H3933" s="11" t="s">
        <v>45</v>
      </c>
    </row>
    <row r="3934" ht="15.75">
      <c r="H3934" s="594" t="s">
        <v>614</v>
      </c>
    </row>
    <row r="3935" ht="15.75">
      <c r="H3935" s="11" t="s">
        <v>615</v>
      </c>
    </row>
    <row r="3936" ht="15.75">
      <c r="H3936" s="11" t="s">
        <v>47</v>
      </c>
    </row>
    <row r="3937" ht="15.75">
      <c r="A3937" s="595"/>
    </row>
    <row r="3938" ht="15.75">
      <c r="A3938" s="3" t="s">
        <v>831</v>
      </c>
    </row>
    <row r="3939" spans="1:8" ht="12.75" customHeight="1">
      <c r="A3939" s="717" t="s">
        <v>0</v>
      </c>
      <c r="B3939" s="714"/>
      <c r="C3939" s="714"/>
      <c r="D3939" s="714"/>
      <c r="E3939" s="714"/>
      <c r="F3939" s="714"/>
      <c r="G3939" s="714"/>
      <c r="H3939" s="714"/>
    </row>
    <row r="3940" spans="1:8" ht="16.5" thickBot="1">
      <c r="A3940" s="597"/>
      <c r="B3940" s="597"/>
      <c r="C3940" s="598"/>
      <c r="D3940" s="598"/>
      <c r="E3940" s="598"/>
      <c r="F3940" s="598"/>
      <c r="G3940" s="598"/>
      <c r="H3940" s="598"/>
    </row>
    <row r="3941" spans="1:8" ht="12.75" customHeight="1">
      <c r="A3941" s="708" t="s">
        <v>617</v>
      </c>
      <c r="B3941" s="710" t="s">
        <v>618</v>
      </c>
      <c r="C3941" s="711" t="s">
        <v>619</v>
      </c>
      <c r="D3941" s="711"/>
      <c r="E3941" s="711"/>
      <c r="F3941" s="711"/>
      <c r="G3941" s="712" t="s">
        <v>620</v>
      </c>
      <c r="H3941" s="708" t="s">
        <v>621</v>
      </c>
    </row>
    <row r="3942" spans="1:8" ht="15.75">
      <c r="A3942" s="708"/>
      <c r="B3942" s="710"/>
      <c r="C3942" s="711"/>
      <c r="D3942" s="711"/>
      <c r="E3942" s="711"/>
      <c r="F3942" s="711"/>
      <c r="G3942" s="712"/>
      <c r="H3942" s="708"/>
    </row>
    <row r="3943" spans="1:8" ht="31.5">
      <c r="A3943" s="708"/>
      <c r="B3943" s="710"/>
      <c r="C3943" s="601" t="s">
        <v>622</v>
      </c>
      <c r="D3943" s="601" t="s">
        <v>623</v>
      </c>
      <c r="E3943" s="602" t="s">
        <v>622</v>
      </c>
      <c r="F3943" s="603" t="s">
        <v>623</v>
      </c>
      <c r="G3943" s="712"/>
      <c r="H3943" s="708"/>
    </row>
    <row r="3944" spans="1:8" ht="15.75">
      <c r="A3944" s="599">
        <v>1</v>
      </c>
      <c r="B3944" s="599">
        <v>2</v>
      </c>
      <c r="C3944" s="604">
        <v>3</v>
      </c>
      <c r="D3944" s="604">
        <v>4</v>
      </c>
      <c r="E3944" s="605"/>
      <c r="F3944" s="606"/>
      <c r="G3944" s="600">
        <v>5</v>
      </c>
      <c r="H3944" s="599">
        <v>6</v>
      </c>
    </row>
    <row r="3945" spans="1:8" ht="12.75" customHeight="1">
      <c r="A3945" s="607">
        <v>1</v>
      </c>
      <c r="B3945" s="709" t="s">
        <v>624</v>
      </c>
      <c r="C3945" s="709"/>
      <c r="D3945" s="709"/>
      <c r="E3945" s="709"/>
      <c r="F3945" s="709"/>
      <c r="G3945" s="709"/>
      <c r="H3945" s="709"/>
    </row>
    <row r="3946" spans="1:8" ht="15.75">
      <c r="A3946" s="608" t="s">
        <v>74</v>
      </c>
      <c r="B3946" s="609" t="s">
        <v>625</v>
      </c>
      <c r="C3946" s="610" t="s">
        <v>379</v>
      </c>
      <c r="D3946" s="610" t="s">
        <v>379</v>
      </c>
      <c r="E3946" s="610" t="s">
        <v>379</v>
      </c>
      <c r="F3946" s="610" t="s">
        <v>379</v>
      </c>
      <c r="G3946" s="610" t="s">
        <v>379</v>
      </c>
      <c r="H3946" s="611" t="s">
        <v>626</v>
      </c>
    </row>
    <row r="3947" spans="1:8" ht="15.75">
      <c r="A3947" s="608" t="s">
        <v>313</v>
      </c>
      <c r="B3947" s="609" t="s">
        <v>627</v>
      </c>
      <c r="C3947" s="610" t="s">
        <v>379</v>
      </c>
      <c r="D3947" s="610" t="s">
        <v>379</v>
      </c>
      <c r="E3947" s="610" t="s">
        <v>379</v>
      </c>
      <c r="F3947" s="610" t="s">
        <v>379</v>
      </c>
      <c r="G3947" s="610" t="s">
        <v>379</v>
      </c>
      <c r="H3947" s="611" t="s">
        <v>626</v>
      </c>
    </row>
    <row r="3948" spans="1:8" ht="31.5">
      <c r="A3948" s="608" t="s">
        <v>315</v>
      </c>
      <c r="B3948" s="612" t="s">
        <v>628</v>
      </c>
      <c r="C3948" s="610" t="s">
        <v>379</v>
      </c>
      <c r="D3948" s="610" t="s">
        <v>379</v>
      </c>
      <c r="E3948" s="610" t="s">
        <v>379</v>
      </c>
      <c r="F3948" s="610" t="s">
        <v>379</v>
      </c>
      <c r="G3948" s="610" t="s">
        <v>379</v>
      </c>
      <c r="H3948" s="611" t="s">
        <v>626</v>
      </c>
    </row>
    <row r="3949" spans="1:8" ht="47.25">
      <c r="A3949" s="608" t="s">
        <v>317</v>
      </c>
      <c r="B3949" s="612" t="s">
        <v>629</v>
      </c>
      <c r="C3949" s="610" t="s">
        <v>379</v>
      </c>
      <c r="D3949" s="610" t="s">
        <v>379</v>
      </c>
      <c r="E3949" s="610" t="s">
        <v>379</v>
      </c>
      <c r="F3949" s="610" t="s">
        <v>379</v>
      </c>
      <c r="G3949" s="610" t="s">
        <v>379</v>
      </c>
      <c r="H3949" s="611" t="s">
        <v>626</v>
      </c>
    </row>
    <row r="3950" spans="1:8" ht="15.75">
      <c r="A3950" s="608" t="s">
        <v>630</v>
      </c>
      <c r="B3950" s="613" t="s">
        <v>631</v>
      </c>
      <c r="C3950" s="610" t="s">
        <v>379</v>
      </c>
      <c r="D3950" s="610" t="s">
        <v>379</v>
      </c>
      <c r="E3950" s="610" t="s">
        <v>379</v>
      </c>
      <c r="F3950" s="610" t="s">
        <v>379</v>
      </c>
      <c r="G3950" s="610" t="s">
        <v>379</v>
      </c>
      <c r="H3950" s="611" t="s">
        <v>626</v>
      </c>
    </row>
    <row r="3951" spans="1:8" ht="15.75">
      <c r="A3951" s="608" t="s">
        <v>632</v>
      </c>
      <c r="B3951" s="613" t="s">
        <v>633</v>
      </c>
      <c r="C3951" s="610" t="s">
        <v>379</v>
      </c>
      <c r="D3951" s="610" t="s">
        <v>379</v>
      </c>
      <c r="E3951" s="610" t="s">
        <v>379</v>
      </c>
      <c r="F3951" s="610" t="s">
        <v>379</v>
      </c>
      <c r="G3951" s="610" t="s">
        <v>379</v>
      </c>
      <c r="H3951" s="611" t="s">
        <v>626</v>
      </c>
    </row>
    <row r="3952" spans="1:8" ht="12.75" customHeight="1">
      <c r="A3952" s="608">
        <v>2</v>
      </c>
      <c r="B3952" s="706" t="s">
        <v>634</v>
      </c>
      <c r="C3952" s="706"/>
      <c r="D3952" s="706"/>
      <c r="E3952" s="706"/>
      <c r="F3952" s="706"/>
      <c r="G3952" s="706"/>
      <c r="H3952" s="706"/>
    </row>
    <row r="3953" spans="1:8" ht="31.5">
      <c r="A3953" s="608" t="s">
        <v>321</v>
      </c>
      <c r="B3953" s="612" t="s">
        <v>635</v>
      </c>
      <c r="C3953" s="610" t="s">
        <v>832</v>
      </c>
      <c r="D3953" s="610" t="s">
        <v>764</v>
      </c>
      <c r="E3953" s="610" t="s">
        <v>379</v>
      </c>
      <c r="F3953" s="610" t="s">
        <v>379</v>
      </c>
      <c r="G3953" s="614">
        <v>0</v>
      </c>
      <c r="H3953" s="611"/>
    </row>
    <row r="3954" spans="1:8" ht="47.25">
      <c r="A3954" s="608" t="s">
        <v>325</v>
      </c>
      <c r="B3954" s="612" t="s">
        <v>638</v>
      </c>
      <c r="C3954" s="610" t="s">
        <v>379</v>
      </c>
      <c r="D3954" s="610" t="s">
        <v>379</v>
      </c>
      <c r="E3954" s="610" t="s">
        <v>379</v>
      </c>
      <c r="F3954" s="610" t="s">
        <v>379</v>
      </c>
      <c r="G3954" s="610" t="s">
        <v>379</v>
      </c>
      <c r="H3954" s="611" t="s">
        <v>626</v>
      </c>
    </row>
    <row r="3955" spans="1:8" ht="31.5">
      <c r="A3955" s="608" t="s">
        <v>639</v>
      </c>
      <c r="B3955" s="612" t="s">
        <v>640</v>
      </c>
      <c r="C3955" s="610" t="s">
        <v>379</v>
      </c>
      <c r="D3955" s="610" t="s">
        <v>379</v>
      </c>
      <c r="E3955" s="610" t="s">
        <v>379</v>
      </c>
      <c r="F3955" s="610" t="s">
        <v>379</v>
      </c>
      <c r="G3955" s="610" t="s">
        <v>379</v>
      </c>
      <c r="H3955" s="611" t="s">
        <v>626</v>
      </c>
    </row>
    <row r="3956" spans="1:8" ht="12.75" customHeight="1">
      <c r="A3956" s="608">
        <v>3</v>
      </c>
      <c r="B3956" s="706" t="s">
        <v>641</v>
      </c>
      <c r="C3956" s="706"/>
      <c r="D3956" s="706"/>
      <c r="E3956" s="706"/>
      <c r="F3956" s="706"/>
      <c r="G3956" s="706"/>
      <c r="H3956" s="706"/>
    </row>
    <row r="3957" spans="1:8" ht="31.5">
      <c r="A3957" s="608" t="s">
        <v>378</v>
      </c>
      <c r="B3957" s="613" t="s">
        <v>642</v>
      </c>
      <c r="C3957" s="610" t="s">
        <v>379</v>
      </c>
      <c r="D3957" s="610" t="s">
        <v>379</v>
      </c>
      <c r="E3957" s="610" t="s">
        <v>379</v>
      </c>
      <c r="F3957" s="610" t="s">
        <v>379</v>
      </c>
      <c r="G3957" s="610" t="s">
        <v>379</v>
      </c>
      <c r="H3957" s="611" t="s">
        <v>626</v>
      </c>
    </row>
    <row r="3958" spans="1:8" ht="15.75">
      <c r="A3958" s="608" t="s">
        <v>643</v>
      </c>
      <c r="B3958" s="613" t="s">
        <v>644</v>
      </c>
      <c r="C3958" s="610" t="s">
        <v>832</v>
      </c>
      <c r="D3958" s="610" t="s">
        <v>765</v>
      </c>
      <c r="E3958" s="610" t="s">
        <v>379</v>
      </c>
      <c r="F3958" s="610" t="s">
        <v>379</v>
      </c>
      <c r="G3958" s="614">
        <v>0</v>
      </c>
      <c r="H3958" s="611"/>
    </row>
    <row r="3959" spans="1:8" ht="15.75">
      <c r="A3959" s="608" t="s">
        <v>380</v>
      </c>
      <c r="B3959" s="613" t="s">
        <v>646</v>
      </c>
      <c r="C3959" s="610" t="s">
        <v>833</v>
      </c>
      <c r="D3959" s="610" t="s">
        <v>766</v>
      </c>
      <c r="E3959" s="610" t="s">
        <v>379</v>
      </c>
      <c r="F3959" s="610" t="s">
        <v>379</v>
      </c>
      <c r="G3959" s="614">
        <v>0</v>
      </c>
      <c r="H3959" s="611"/>
    </row>
    <row r="3960" spans="1:8" ht="15.75">
      <c r="A3960" s="608" t="s">
        <v>649</v>
      </c>
      <c r="B3960" s="613" t="s">
        <v>650</v>
      </c>
      <c r="C3960" s="610" t="s">
        <v>766</v>
      </c>
      <c r="D3960" s="610" t="s">
        <v>834</v>
      </c>
      <c r="E3960" s="610" t="s">
        <v>379</v>
      </c>
      <c r="F3960" s="610" t="s">
        <v>379</v>
      </c>
      <c r="G3960" s="614">
        <v>0</v>
      </c>
      <c r="H3960" s="611"/>
    </row>
    <row r="3961" spans="1:8" ht="15.75">
      <c r="A3961" s="608" t="s">
        <v>653</v>
      </c>
      <c r="B3961" s="613" t="s">
        <v>654</v>
      </c>
      <c r="C3961" s="610" t="s">
        <v>834</v>
      </c>
      <c r="D3961" s="610" t="s">
        <v>764</v>
      </c>
      <c r="E3961" s="610" t="s">
        <v>379</v>
      </c>
      <c r="F3961" s="610" t="s">
        <v>379</v>
      </c>
      <c r="G3961" s="614">
        <v>0</v>
      </c>
      <c r="H3961" s="611"/>
    </row>
    <row r="3962" spans="1:8" ht="12.75" customHeight="1">
      <c r="A3962" s="608">
        <v>4</v>
      </c>
      <c r="B3962" s="706" t="s">
        <v>656</v>
      </c>
      <c r="C3962" s="706"/>
      <c r="D3962" s="706"/>
      <c r="E3962" s="706"/>
      <c r="F3962" s="706"/>
      <c r="G3962" s="706"/>
      <c r="H3962" s="706"/>
    </row>
    <row r="3963" spans="1:8" ht="31.5">
      <c r="A3963" s="608" t="s">
        <v>657</v>
      </c>
      <c r="B3963" s="612" t="s">
        <v>658</v>
      </c>
      <c r="C3963" s="610" t="s">
        <v>379</v>
      </c>
      <c r="D3963" s="610" t="s">
        <v>379</v>
      </c>
      <c r="E3963" s="610" t="s">
        <v>379</v>
      </c>
      <c r="F3963" s="610" t="s">
        <v>379</v>
      </c>
      <c r="G3963" s="610" t="s">
        <v>379</v>
      </c>
      <c r="H3963" s="611" t="s">
        <v>626</v>
      </c>
    </row>
    <row r="3964" spans="1:8" ht="47.25">
      <c r="A3964" s="608" t="s">
        <v>659</v>
      </c>
      <c r="B3964" s="612" t="s">
        <v>660</v>
      </c>
      <c r="C3964" s="610" t="s">
        <v>379</v>
      </c>
      <c r="D3964" s="610" t="s">
        <v>379</v>
      </c>
      <c r="E3964" s="610" t="s">
        <v>379</v>
      </c>
      <c r="F3964" s="610" t="s">
        <v>379</v>
      </c>
      <c r="G3964" s="610" t="s">
        <v>379</v>
      </c>
      <c r="H3964" s="611" t="s">
        <v>626</v>
      </c>
    </row>
    <row r="3965" spans="1:8" ht="31.5">
      <c r="A3965" s="608" t="s">
        <v>661</v>
      </c>
      <c r="B3965" s="613" t="s">
        <v>662</v>
      </c>
      <c r="C3965" s="610" t="s">
        <v>379</v>
      </c>
      <c r="D3965" s="610" t="s">
        <v>379</v>
      </c>
      <c r="E3965" s="610" t="s">
        <v>379</v>
      </c>
      <c r="F3965" s="610" t="s">
        <v>379</v>
      </c>
      <c r="G3965" s="610" t="s">
        <v>379</v>
      </c>
      <c r="H3965" s="611" t="s">
        <v>626</v>
      </c>
    </row>
    <row r="3966" spans="1:8" ht="31.5">
      <c r="A3966" s="615" t="s">
        <v>663</v>
      </c>
      <c r="B3966" s="616" t="s">
        <v>664</v>
      </c>
      <c r="C3966" s="617" t="s">
        <v>379</v>
      </c>
      <c r="D3966" s="617" t="s">
        <v>379</v>
      </c>
      <c r="E3966" s="617" t="s">
        <v>379</v>
      </c>
      <c r="F3966" s="617" t="s">
        <v>379</v>
      </c>
      <c r="G3966" s="617" t="s">
        <v>379</v>
      </c>
      <c r="H3966" s="618" t="s">
        <v>626</v>
      </c>
    </row>
    <row r="3967" spans="1:8" ht="15.75">
      <c r="A3967" s="619"/>
      <c r="B3967" s="620"/>
      <c r="C3967" s="621"/>
      <c r="D3967" s="621"/>
      <c r="E3967" s="621"/>
      <c r="F3967" s="621"/>
      <c r="G3967" s="621"/>
      <c r="H3967" s="148"/>
    </row>
    <row r="3968" spans="1:8" ht="12.75" customHeight="1">
      <c r="A3968" s="707" t="s">
        <v>665</v>
      </c>
      <c r="B3968" s="707"/>
      <c r="C3968" s="707"/>
      <c r="D3968" s="707"/>
      <c r="E3968" s="707"/>
      <c r="F3968" s="707"/>
      <c r="G3968" s="707"/>
      <c r="H3968" s="707"/>
    </row>
    <row r="3971" ht="15.75">
      <c r="H3971" s="11" t="s">
        <v>609</v>
      </c>
    </row>
    <row r="3972" ht="15.75">
      <c r="H3972" s="11" t="s">
        <v>610</v>
      </c>
    </row>
    <row r="3973" ht="15.75">
      <c r="H3973" s="11" t="s">
        <v>611</v>
      </c>
    </row>
    <row r="3974" ht="15.75">
      <c r="H3974" s="11"/>
    </row>
    <row r="3975" spans="1:8" ht="12.75" customHeight="1">
      <c r="A3975" s="713" t="s">
        <v>612</v>
      </c>
      <c r="B3975" s="713"/>
      <c r="C3975" s="713"/>
      <c r="D3975" s="713"/>
      <c r="E3975" s="713"/>
      <c r="F3975" s="713"/>
      <c r="G3975" s="713"/>
      <c r="H3975" s="713"/>
    </row>
    <row r="3976" spans="1:8" ht="12.75" customHeight="1">
      <c r="A3976" s="713" t="s">
        <v>613</v>
      </c>
      <c r="B3976" s="713"/>
      <c r="C3976" s="713"/>
      <c r="D3976" s="713"/>
      <c r="E3976" s="713"/>
      <c r="F3976" s="713"/>
      <c r="G3976" s="713"/>
      <c r="H3976" s="713"/>
    </row>
    <row r="3977" ht="15.75">
      <c r="H3977" s="11" t="s">
        <v>43</v>
      </c>
    </row>
    <row r="3978" ht="15.75">
      <c r="H3978" s="11" t="s">
        <v>44</v>
      </c>
    </row>
    <row r="3979" ht="15.75">
      <c r="H3979" s="11" t="s">
        <v>45</v>
      </c>
    </row>
    <row r="3980" ht="15.75">
      <c r="H3980" s="594" t="s">
        <v>614</v>
      </c>
    </row>
    <row r="3981" ht="15.75">
      <c r="H3981" s="11" t="s">
        <v>615</v>
      </c>
    </row>
    <row r="3982" ht="15.75">
      <c r="H3982" s="11" t="s">
        <v>47</v>
      </c>
    </row>
    <row r="3983" ht="15.75">
      <c r="A3983" s="595"/>
    </row>
    <row r="3984" ht="15.75">
      <c r="A3984" s="3" t="s">
        <v>835</v>
      </c>
    </row>
    <row r="3985" spans="1:8" ht="12.75" customHeight="1">
      <c r="A3985" s="717" t="s">
        <v>0</v>
      </c>
      <c r="B3985" s="714"/>
      <c r="C3985" s="714"/>
      <c r="D3985" s="714"/>
      <c r="E3985" s="714"/>
      <c r="F3985" s="714"/>
      <c r="G3985" s="714"/>
      <c r="H3985" s="714"/>
    </row>
    <row r="3986" spans="1:8" ht="16.5" thickBot="1">
      <c r="A3986" s="597"/>
      <c r="B3986" s="597"/>
      <c r="C3986" s="598"/>
      <c r="D3986" s="598"/>
      <c r="E3986" s="598"/>
      <c r="F3986" s="598"/>
      <c r="G3986" s="598"/>
      <c r="H3986" s="598"/>
    </row>
    <row r="3987" spans="1:8" ht="12.75" customHeight="1">
      <c r="A3987" s="708" t="s">
        <v>617</v>
      </c>
      <c r="B3987" s="710" t="s">
        <v>618</v>
      </c>
      <c r="C3987" s="711" t="s">
        <v>619</v>
      </c>
      <c r="D3987" s="711"/>
      <c r="E3987" s="711"/>
      <c r="F3987" s="711"/>
      <c r="G3987" s="712" t="s">
        <v>620</v>
      </c>
      <c r="H3987" s="708" t="s">
        <v>621</v>
      </c>
    </row>
    <row r="3988" spans="1:8" ht="15.75">
      <c r="A3988" s="708"/>
      <c r="B3988" s="710"/>
      <c r="C3988" s="711"/>
      <c r="D3988" s="711"/>
      <c r="E3988" s="711"/>
      <c r="F3988" s="711"/>
      <c r="G3988" s="712"/>
      <c r="H3988" s="708"/>
    </row>
    <row r="3989" spans="1:8" ht="31.5">
      <c r="A3989" s="708"/>
      <c r="B3989" s="710"/>
      <c r="C3989" s="601" t="s">
        <v>622</v>
      </c>
      <c r="D3989" s="601" t="s">
        <v>623</v>
      </c>
      <c r="E3989" s="602" t="s">
        <v>622</v>
      </c>
      <c r="F3989" s="603" t="s">
        <v>623</v>
      </c>
      <c r="G3989" s="712"/>
      <c r="H3989" s="708"/>
    </row>
    <row r="3990" spans="1:8" ht="15.75">
      <c r="A3990" s="599">
        <v>1</v>
      </c>
      <c r="B3990" s="599">
        <v>2</v>
      </c>
      <c r="C3990" s="604">
        <v>3</v>
      </c>
      <c r="D3990" s="604">
        <v>4</v>
      </c>
      <c r="E3990" s="605"/>
      <c r="F3990" s="606"/>
      <c r="G3990" s="600">
        <v>5</v>
      </c>
      <c r="H3990" s="599">
        <v>6</v>
      </c>
    </row>
    <row r="3991" spans="1:8" ht="12.75" customHeight="1">
      <c r="A3991" s="607">
        <v>1</v>
      </c>
      <c r="B3991" s="709" t="s">
        <v>624</v>
      </c>
      <c r="C3991" s="709"/>
      <c r="D3991" s="709"/>
      <c r="E3991" s="709"/>
      <c r="F3991" s="709"/>
      <c r="G3991" s="709"/>
      <c r="H3991" s="709"/>
    </row>
    <row r="3992" spans="1:8" ht="15.75">
      <c r="A3992" s="608" t="s">
        <v>74</v>
      </c>
      <c r="B3992" s="609" t="s">
        <v>625</v>
      </c>
      <c r="C3992" s="610" t="s">
        <v>379</v>
      </c>
      <c r="D3992" s="610" t="s">
        <v>379</v>
      </c>
      <c r="E3992" s="610" t="s">
        <v>379</v>
      </c>
      <c r="F3992" s="610" t="s">
        <v>379</v>
      </c>
      <c r="G3992" s="610" t="s">
        <v>379</v>
      </c>
      <c r="H3992" s="611" t="s">
        <v>626</v>
      </c>
    </row>
    <row r="3993" spans="1:8" ht="15.75">
      <c r="A3993" s="608" t="s">
        <v>313</v>
      </c>
      <c r="B3993" s="609" t="s">
        <v>627</v>
      </c>
      <c r="C3993" s="610" t="s">
        <v>379</v>
      </c>
      <c r="D3993" s="610" t="s">
        <v>379</v>
      </c>
      <c r="E3993" s="610" t="s">
        <v>379</v>
      </c>
      <c r="F3993" s="610" t="s">
        <v>379</v>
      </c>
      <c r="G3993" s="610" t="s">
        <v>379</v>
      </c>
      <c r="H3993" s="611" t="s">
        <v>626</v>
      </c>
    </row>
    <row r="3994" spans="1:8" ht="31.5">
      <c r="A3994" s="608" t="s">
        <v>315</v>
      </c>
      <c r="B3994" s="612" t="s">
        <v>628</v>
      </c>
      <c r="C3994" s="610" t="s">
        <v>379</v>
      </c>
      <c r="D3994" s="610" t="s">
        <v>379</v>
      </c>
      <c r="E3994" s="610" t="s">
        <v>379</v>
      </c>
      <c r="F3994" s="610" t="s">
        <v>379</v>
      </c>
      <c r="G3994" s="610" t="s">
        <v>379</v>
      </c>
      <c r="H3994" s="611" t="s">
        <v>626</v>
      </c>
    </row>
    <row r="3995" spans="1:8" ht="47.25">
      <c r="A3995" s="608" t="s">
        <v>317</v>
      </c>
      <c r="B3995" s="612" t="s">
        <v>629</v>
      </c>
      <c r="C3995" s="610" t="s">
        <v>379</v>
      </c>
      <c r="D3995" s="610" t="s">
        <v>379</v>
      </c>
      <c r="E3995" s="610" t="s">
        <v>379</v>
      </c>
      <c r="F3995" s="610" t="s">
        <v>379</v>
      </c>
      <c r="G3995" s="610" t="s">
        <v>379</v>
      </c>
      <c r="H3995" s="611" t="s">
        <v>626</v>
      </c>
    </row>
    <row r="3996" spans="1:8" ht="15.75">
      <c r="A3996" s="608" t="s">
        <v>630</v>
      </c>
      <c r="B3996" s="613" t="s">
        <v>631</v>
      </c>
      <c r="C3996" s="610" t="s">
        <v>379</v>
      </c>
      <c r="D3996" s="610" t="s">
        <v>379</v>
      </c>
      <c r="E3996" s="610" t="s">
        <v>379</v>
      </c>
      <c r="F3996" s="610" t="s">
        <v>379</v>
      </c>
      <c r="G3996" s="610" t="s">
        <v>379</v>
      </c>
      <c r="H3996" s="611" t="s">
        <v>626</v>
      </c>
    </row>
    <row r="3997" spans="1:8" ht="15.75">
      <c r="A3997" s="608" t="s">
        <v>632</v>
      </c>
      <c r="B3997" s="613" t="s">
        <v>633</v>
      </c>
      <c r="C3997" s="610" t="s">
        <v>379</v>
      </c>
      <c r="D3997" s="610" t="s">
        <v>379</v>
      </c>
      <c r="E3997" s="610" t="s">
        <v>379</v>
      </c>
      <c r="F3997" s="610" t="s">
        <v>379</v>
      </c>
      <c r="G3997" s="610" t="s">
        <v>379</v>
      </c>
      <c r="H3997" s="611" t="s">
        <v>626</v>
      </c>
    </row>
    <row r="3998" spans="1:8" ht="12.75" customHeight="1">
      <c r="A3998" s="608">
        <v>2</v>
      </c>
      <c r="B3998" s="706" t="s">
        <v>634</v>
      </c>
      <c r="C3998" s="706"/>
      <c r="D3998" s="706"/>
      <c r="E3998" s="706"/>
      <c r="F3998" s="706"/>
      <c r="G3998" s="706"/>
      <c r="H3998" s="706"/>
    </row>
    <row r="3999" spans="1:8" ht="31.5">
      <c r="A3999" s="608" t="s">
        <v>321</v>
      </c>
      <c r="B3999" s="612" t="s">
        <v>635</v>
      </c>
      <c r="C3999" s="610" t="s">
        <v>832</v>
      </c>
      <c r="D3999" s="610" t="s">
        <v>764</v>
      </c>
      <c r="E3999" s="610" t="s">
        <v>379</v>
      </c>
      <c r="F3999" s="610" t="s">
        <v>379</v>
      </c>
      <c r="G3999" s="614">
        <v>0</v>
      </c>
      <c r="H3999" s="611"/>
    </row>
    <row r="4000" spans="1:8" ht="47.25">
      <c r="A4000" s="608" t="s">
        <v>325</v>
      </c>
      <c r="B4000" s="612" t="s">
        <v>638</v>
      </c>
      <c r="C4000" s="610" t="s">
        <v>379</v>
      </c>
      <c r="D4000" s="610" t="s">
        <v>379</v>
      </c>
      <c r="E4000" s="610" t="s">
        <v>379</v>
      </c>
      <c r="F4000" s="610" t="s">
        <v>379</v>
      </c>
      <c r="G4000" s="610" t="s">
        <v>379</v>
      </c>
      <c r="H4000" s="611" t="s">
        <v>626</v>
      </c>
    </row>
    <row r="4001" spans="1:8" ht="31.5">
      <c r="A4001" s="608" t="s">
        <v>639</v>
      </c>
      <c r="B4001" s="612" t="s">
        <v>640</v>
      </c>
      <c r="C4001" s="610" t="s">
        <v>379</v>
      </c>
      <c r="D4001" s="610" t="s">
        <v>379</v>
      </c>
      <c r="E4001" s="610" t="s">
        <v>379</v>
      </c>
      <c r="F4001" s="610" t="s">
        <v>379</v>
      </c>
      <c r="G4001" s="610" t="s">
        <v>379</v>
      </c>
      <c r="H4001" s="611" t="s">
        <v>626</v>
      </c>
    </row>
    <row r="4002" spans="1:8" ht="12.75" customHeight="1">
      <c r="A4002" s="608">
        <v>3</v>
      </c>
      <c r="B4002" s="706" t="s">
        <v>641</v>
      </c>
      <c r="C4002" s="706"/>
      <c r="D4002" s="706"/>
      <c r="E4002" s="706"/>
      <c r="F4002" s="706"/>
      <c r="G4002" s="706"/>
      <c r="H4002" s="706"/>
    </row>
    <row r="4003" spans="1:8" ht="31.5">
      <c r="A4003" s="608" t="s">
        <v>378</v>
      </c>
      <c r="B4003" s="613" t="s">
        <v>642</v>
      </c>
      <c r="C4003" s="610" t="s">
        <v>379</v>
      </c>
      <c r="D4003" s="610" t="s">
        <v>379</v>
      </c>
      <c r="E4003" s="610" t="s">
        <v>379</v>
      </c>
      <c r="F4003" s="610" t="s">
        <v>379</v>
      </c>
      <c r="G4003" s="610" t="s">
        <v>379</v>
      </c>
      <c r="H4003" s="611" t="s">
        <v>626</v>
      </c>
    </row>
    <row r="4004" spans="1:8" ht="15.75">
      <c r="A4004" s="608" t="s">
        <v>643</v>
      </c>
      <c r="B4004" s="613" t="s">
        <v>644</v>
      </c>
      <c r="C4004" s="610" t="s">
        <v>832</v>
      </c>
      <c r="D4004" s="610" t="s">
        <v>794</v>
      </c>
      <c r="E4004" s="610" t="s">
        <v>379</v>
      </c>
      <c r="F4004" s="610" t="s">
        <v>379</v>
      </c>
      <c r="G4004" s="614">
        <v>0</v>
      </c>
      <c r="H4004" s="611"/>
    </row>
    <row r="4005" spans="1:8" ht="15.75">
      <c r="A4005" s="608" t="s">
        <v>380</v>
      </c>
      <c r="B4005" s="613" t="s">
        <v>646</v>
      </c>
      <c r="C4005" s="610" t="s">
        <v>794</v>
      </c>
      <c r="D4005" s="610" t="s">
        <v>836</v>
      </c>
      <c r="E4005" s="610" t="s">
        <v>379</v>
      </c>
      <c r="F4005" s="610" t="s">
        <v>379</v>
      </c>
      <c r="G4005" s="614">
        <v>0</v>
      </c>
      <c r="H4005" s="611"/>
    </row>
    <row r="4006" spans="1:8" ht="15.75">
      <c r="A4006" s="608" t="s">
        <v>649</v>
      </c>
      <c r="B4006" s="613" t="s">
        <v>650</v>
      </c>
      <c r="C4006" s="610" t="s">
        <v>836</v>
      </c>
      <c r="D4006" s="610" t="s">
        <v>834</v>
      </c>
      <c r="E4006" s="610" t="s">
        <v>379</v>
      </c>
      <c r="F4006" s="610" t="s">
        <v>379</v>
      </c>
      <c r="G4006" s="614">
        <v>0</v>
      </c>
      <c r="H4006" s="611"/>
    </row>
    <row r="4007" spans="1:8" ht="15.75">
      <c r="A4007" s="608" t="s">
        <v>653</v>
      </c>
      <c r="B4007" s="613" t="s">
        <v>654</v>
      </c>
      <c r="C4007" s="610" t="s">
        <v>834</v>
      </c>
      <c r="D4007" s="610" t="s">
        <v>764</v>
      </c>
      <c r="E4007" s="610" t="s">
        <v>379</v>
      </c>
      <c r="F4007" s="610" t="s">
        <v>379</v>
      </c>
      <c r="G4007" s="614">
        <v>0</v>
      </c>
      <c r="H4007" s="611"/>
    </row>
    <row r="4008" spans="1:8" ht="12.75" customHeight="1">
      <c r="A4008" s="608">
        <v>4</v>
      </c>
      <c r="B4008" s="706" t="s">
        <v>656</v>
      </c>
      <c r="C4008" s="706"/>
      <c r="D4008" s="706"/>
      <c r="E4008" s="706"/>
      <c r="F4008" s="706"/>
      <c r="G4008" s="706"/>
      <c r="H4008" s="706"/>
    </row>
    <row r="4009" spans="1:8" ht="31.5">
      <c r="A4009" s="608" t="s">
        <v>657</v>
      </c>
      <c r="B4009" s="612" t="s">
        <v>658</v>
      </c>
      <c r="C4009" s="610" t="s">
        <v>379</v>
      </c>
      <c r="D4009" s="610" t="s">
        <v>379</v>
      </c>
      <c r="E4009" s="610" t="s">
        <v>379</v>
      </c>
      <c r="F4009" s="610" t="s">
        <v>379</v>
      </c>
      <c r="G4009" s="610" t="s">
        <v>379</v>
      </c>
      <c r="H4009" s="611" t="s">
        <v>626</v>
      </c>
    </row>
    <row r="4010" spans="1:8" ht="47.25">
      <c r="A4010" s="608" t="s">
        <v>659</v>
      </c>
      <c r="B4010" s="612" t="s">
        <v>660</v>
      </c>
      <c r="C4010" s="610" t="s">
        <v>379</v>
      </c>
      <c r="D4010" s="610" t="s">
        <v>379</v>
      </c>
      <c r="E4010" s="610" t="s">
        <v>379</v>
      </c>
      <c r="F4010" s="610" t="s">
        <v>379</v>
      </c>
      <c r="G4010" s="610" t="s">
        <v>379</v>
      </c>
      <c r="H4010" s="611" t="s">
        <v>626</v>
      </c>
    </row>
    <row r="4011" spans="1:8" ht="31.5">
      <c r="A4011" s="608" t="s">
        <v>661</v>
      </c>
      <c r="B4011" s="613" t="s">
        <v>662</v>
      </c>
      <c r="C4011" s="610" t="s">
        <v>379</v>
      </c>
      <c r="D4011" s="610" t="s">
        <v>379</v>
      </c>
      <c r="E4011" s="610" t="s">
        <v>379</v>
      </c>
      <c r="F4011" s="610" t="s">
        <v>379</v>
      </c>
      <c r="G4011" s="610" t="s">
        <v>379</v>
      </c>
      <c r="H4011" s="611" t="s">
        <v>626</v>
      </c>
    </row>
    <row r="4012" spans="1:8" ht="31.5">
      <c r="A4012" s="615" t="s">
        <v>663</v>
      </c>
      <c r="B4012" s="616" t="s">
        <v>664</v>
      </c>
      <c r="C4012" s="617" t="s">
        <v>379</v>
      </c>
      <c r="D4012" s="617" t="s">
        <v>379</v>
      </c>
      <c r="E4012" s="617" t="s">
        <v>379</v>
      </c>
      <c r="F4012" s="617" t="s">
        <v>379</v>
      </c>
      <c r="G4012" s="617" t="s">
        <v>379</v>
      </c>
      <c r="H4012" s="618" t="s">
        <v>626</v>
      </c>
    </row>
    <row r="4013" spans="1:8" ht="15.75">
      <c r="A4013" s="619"/>
      <c r="B4013" s="620"/>
      <c r="C4013" s="621"/>
      <c r="D4013" s="621"/>
      <c r="E4013" s="621"/>
      <c r="F4013" s="621"/>
      <c r="G4013" s="621"/>
      <c r="H4013" s="148"/>
    </row>
    <row r="4014" spans="1:8" ht="12.75" customHeight="1">
      <c r="A4014" s="707" t="s">
        <v>665</v>
      </c>
      <c r="B4014" s="707"/>
      <c r="C4014" s="707"/>
      <c r="D4014" s="707"/>
      <c r="E4014" s="707"/>
      <c r="F4014" s="707"/>
      <c r="G4014" s="707"/>
      <c r="H4014" s="707"/>
    </row>
    <row r="4017" ht="15.75">
      <c r="H4017" s="11" t="s">
        <v>609</v>
      </c>
    </row>
    <row r="4018" ht="15.75">
      <c r="H4018" s="11" t="s">
        <v>610</v>
      </c>
    </row>
    <row r="4019" ht="15.75">
      <c r="H4019" s="11" t="s">
        <v>611</v>
      </c>
    </row>
    <row r="4020" ht="15.75">
      <c r="H4020" s="11"/>
    </row>
    <row r="4021" spans="1:8" ht="12.75" customHeight="1">
      <c r="A4021" s="713" t="s">
        <v>612</v>
      </c>
      <c r="B4021" s="713"/>
      <c r="C4021" s="713"/>
      <c r="D4021" s="713"/>
      <c r="E4021" s="713"/>
      <c r="F4021" s="713"/>
      <c r="G4021" s="713"/>
      <c r="H4021" s="713"/>
    </row>
    <row r="4022" spans="1:8" ht="12.75" customHeight="1">
      <c r="A4022" s="713" t="s">
        <v>613</v>
      </c>
      <c r="B4022" s="713"/>
      <c r="C4022" s="713"/>
      <c r="D4022" s="713"/>
      <c r="E4022" s="713"/>
      <c r="F4022" s="713"/>
      <c r="G4022" s="713"/>
      <c r="H4022" s="713"/>
    </row>
    <row r="4023" ht="15.75">
      <c r="H4023" s="11" t="s">
        <v>43</v>
      </c>
    </row>
    <row r="4024" ht="15.75">
      <c r="H4024" s="11" t="s">
        <v>44</v>
      </c>
    </row>
    <row r="4025" ht="15.75">
      <c r="H4025" s="11" t="s">
        <v>45</v>
      </c>
    </row>
    <row r="4026" ht="15.75">
      <c r="H4026" s="594" t="s">
        <v>614</v>
      </c>
    </row>
    <row r="4027" ht="15.75">
      <c r="H4027" s="11" t="s">
        <v>615</v>
      </c>
    </row>
    <row r="4028" ht="15.75">
      <c r="H4028" s="11" t="s">
        <v>47</v>
      </c>
    </row>
    <row r="4029" ht="15.75">
      <c r="A4029" s="595"/>
    </row>
    <row r="4030" ht="15.75">
      <c r="A4030" s="3" t="s">
        <v>837</v>
      </c>
    </row>
    <row r="4031" spans="1:8" ht="12.75" customHeight="1">
      <c r="A4031" s="717" t="s">
        <v>0</v>
      </c>
      <c r="B4031" s="714"/>
      <c r="C4031" s="714"/>
      <c r="D4031" s="714"/>
      <c r="E4031" s="714"/>
      <c r="F4031" s="714"/>
      <c r="G4031" s="714"/>
      <c r="H4031" s="714"/>
    </row>
    <row r="4032" spans="1:8" ht="16.5" thickBot="1">
      <c r="A4032" s="597"/>
      <c r="B4032" s="597"/>
      <c r="C4032" s="598"/>
      <c r="D4032" s="598"/>
      <c r="E4032" s="598"/>
      <c r="F4032" s="598"/>
      <c r="G4032" s="598"/>
      <c r="H4032" s="598"/>
    </row>
    <row r="4033" spans="1:8" ht="12.75" customHeight="1">
      <c r="A4033" s="708" t="s">
        <v>617</v>
      </c>
      <c r="B4033" s="710" t="s">
        <v>618</v>
      </c>
      <c r="C4033" s="711" t="s">
        <v>619</v>
      </c>
      <c r="D4033" s="711"/>
      <c r="E4033" s="711"/>
      <c r="F4033" s="711"/>
      <c r="G4033" s="712" t="s">
        <v>620</v>
      </c>
      <c r="H4033" s="708" t="s">
        <v>621</v>
      </c>
    </row>
    <row r="4034" spans="1:8" ht="15.75">
      <c r="A4034" s="708"/>
      <c r="B4034" s="710"/>
      <c r="C4034" s="711"/>
      <c r="D4034" s="711"/>
      <c r="E4034" s="711"/>
      <c r="F4034" s="711"/>
      <c r="G4034" s="712"/>
      <c r="H4034" s="708"/>
    </row>
    <row r="4035" spans="1:8" ht="31.5">
      <c r="A4035" s="708"/>
      <c r="B4035" s="710"/>
      <c r="C4035" s="601" t="s">
        <v>622</v>
      </c>
      <c r="D4035" s="601" t="s">
        <v>623</v>
      </c>
      <c r="E4035" s="602" t="s">
        <v>622</v>
      </c>
      <c r="F4035" s="603" t="s">
        <v>623</v>
      </c>
      <c r="G4035" s="712"/>
      <c r="H4035" s="708"/>
    </row>
    <row r="4036" spans="1:8" ht="15.75">
      <c r="A4036" s="599">
        <v>1</v>
      </c>
      <c r="B4036" s="599">
        <v>2</v>
      </c>
      <c r="C4036" s="604">
        <v>3</v>
      </c>
      <c r="D4036" s="604">
        <v>4</v>
      </c>
      <c r="E4036" s="605"/>
      <c r="F4036" s="606"/>
      <c r="G4036" s="600">
        <v>5</v>
      </c>
      <c r="H4036" s="599">
        <v>6</v>
      </c>
    </row>
    <row r="4037" spans="1:8" ht="12.75" customHeight="1">
      <c r="A4037" s="607">
        <v>1</v>
      </c>
      <c r="B4037" s="709" t="s">
        <v>624</v>
      </c>
      <c r="C4037" s="709"/>
      <c r="D4037" s="709"/>
      <c r="E4037" s="709"/>
      <c r="F4037" s="709"/>
      <c r="G4037" s="709"/>
      <c r="H4037" s="709"/>
    </row>
    <row r="4038" spans="1:8" ht="15.75">
      <c r="A4038" s="608" t="s">
        <v>74</v>
      </c>
      <c r="B4038" s="609" t="s">
        <v>625</v>
      </c>
      <c r="C4038" s="610" t="s">
        <v>379</v>
      </c>
      <c r="D4038" s="610" t="s">
        <v>379</v>
      </c>
      <c r="E4038" s="610" t="s">
        <v>379</v>
      </c>
      <c r="F4038" s="610" t="s">
        <v>379</v>
      </c>
      <c r="G4038" s="610" t="s">
        <v>379</v>
      </c>
      <c r="H4038" s="611" t="s">
        <v>626</v>
      </c>
    </row>
    <row r="4039" spans="1:8" ht="15.75">
      <c r="A4039" s="608" t="s">
        <v>313</v>
      </c>
      <c r="B4039" s="609" t="s">
        <v>627</v>
      </c>
      <c r="C4039" s="610" t="s">
        <v>379</v>
      </c>
      <c r="D4039" s="610" t="s">
        <v>379</v>
      </c>
      <c r="E4039" s="610" t="s">
        <v>379</v>
      </c>
      <c r="F4039" s="610" t="s">
        <v>379</v>
      </c>
      <c r="G4039" s="610" t="s">
        <v>379</v>
      </c>
      <c r="H4039" s="611" t="s">
        <v>626</v>
      </c>
    </row>
    <row r="4040" spans="1:8" ht="31.5">
      <c r="A4040" s="608" t="s">
        <v>315</v>
      </c>
      <c r="B4040" s="612" t="s">
        <v>628</v>
      </c>
      <c r="C4040" s="610" t="s">
        <v>379</v>
      </c>
      <c r="D4040" s="610" t="s">
        <v>379</v>
      </c>
      <c r="E4040" s="610" t="s">
        <v>379</v>
      </c>
      <c r="F4040" s="610" t="s">
        <v>379</v>
      </c>
      <c r="G4040" s="610" t="s">
        <v>379</v>
      </c>
      <c r="H4040" s="611" t="s">
        <v>626</v>
      </c>
    </row>
    <row r="4041" spans="1:8" ht="47.25">
      <c r="A4041" s="608" t="s">
        <v>317</v>
      </c>
      <c r="B4041" s="612" t="s">
        <v>629</v>
      </c>
      <c r="C4041" s="610" t="s">
        <v>379</v>
      </c>
      <c r="D4041" s="610" t="s">
        <v>379</v>
      </c>
      <c r="E4041" s="610" t="s">
        <v>379</v>
      </c>
      <c r="F4041" s="610" t="s">
        <v>379</v>
      </c>
      <c r="G4041" s="610" t="s">
        <v>379</v>
      </c>
      <c r="H4041" s="611" t="s">
        <v>626</v>
      </c>
    </row>
    <row r="4042" spans="1:8" ht="15.75">
      <c r="A4042" s="608" t="s">
        <v>630</v>
      </c>
      <c r="B4042" s="613" t="s">
        <v>631</v>
      </c>
      <c r="C4042" s="610" t="s">
        <v>379</v>
      </c>
      <c r="D4042" s="610" t="s">
        <v>379</v>
      </c>
      <c r="E4042" s="610" t="s">
        <v>379</v>
      </c>
      <c r="F4042" s="610" t="s">
        <v>379</v>
      </c>
      <c r="G4042" s="610" t="s">
        <v>379</v>
      </c>
      <c r="H4042" s="611" t="s">
        <v>626</v>
      </c>
    </row>
    <row r="4043" spans="1:8" ht="15.75">
      <c r="A4043" s="608" t="s">
        <v>632</v>
      </c>
      <c r="B4043" s="613" t="s">
        <v>633</v>
      </c>
      <c r="C4043" s="610" t="s">
        <v>379</v>
      </c>
      <c r="D4043" s="610" t="s">
        <v>379</v>
      </c>
      <c r="E4043" s="610" t="s">
        <v>379</v>
      </c>
      <c r="F4043" s="610" t="s">
        <v>379</v>
      </c>
      <c r="G4043" s="610" t="s">
        <v>379</v>
      </c>
      <c r="H4043" s="611" t="s">
        <v>626</v>
      </c>
    </row>
    <row r="4044" spans="1:8" ht="12.75" customHeight="1">
      <c r="A4044" s="608">
        <v>2</v>
      </c>
      <c r="B4044" s="706" t="s">
        <v>634</v>
      </c>
      <c r="C4044" s="706"/>
      <c r="D4044" s="706"/>
      <c r="E4044" s="706"/>
      <c r="F4044" s="706"/>
      <c r="G4044" s="706"/>
      <c r="H4044" s="706"/>
    </row>
    <row r="4045" spans="1:8" ht="31.5">
      <c r="A4045" s="608" t="s">
        <v>321</v>
      </c>
      <c r="B4045" s="612" t="s">
        <v>635</v>
      </c>
      <c r="C4045" s="610" t="s">
        <v>838</v>
      </c>
      <c r="D4045" s="610" t="s">
        <v>725</v>
      </c>
      <c r="E4045" s="610" t="s">
        <v>379</v>
      </c>
      <c r="F4045" s="610" t="s">
        <v>379</v>
      </c>
      <c r="G4045" s="614">
        <v>0</v>
      </c>
      <c r="H4045" s="611"/>
    </row>
    <row r="4046" spans="1:8" ht="47.25">
      <c r="A4046" s="608" t="s">
        <v>325</v>
      </c>
      <c r="B4046" s="612" t="s">
        <v>638</v>
      </c>
      <c r="C4046" s="610" t="s">
        <v>379</v>
      </c>
      <c r="D4046" s="610" t="s">
        <v>379</v>
      </c>
      <c r="E4046" s="610" t="s">
        <v>379</v>
      </c>
      <c r="F4046" s="610" t="s">
        <v>379</v>
      </c>
      <c r="G4046" s="610" t="s">
        <v>379</v>
      </c>
      <c r="H4046" s="611" t="s">
        <v>626</v>
      </c>
    </row>
    <row r="4047" spans="1:8" ht="31.5">
      <c r="A4047" s="608" t="s">
        <v>639</v>
      </c>
      <c r="B4047" s="612" t="s">
        <v>640</v>
      </c>
      <c r="C4047" s="610" t="s">
        <v>379</v>
      </c>
      <c r="D4047" s="610" t="s">
        <v>379</v>
      </c>
      <c r="E4047" s="610" t="s">
        <v>379</v>
      </c>
      <c r="F4047" s="610" t="s">
        <v>379</v>
      </c>
      <c r="G4047" s="610" t="s">
        <v>379</v>
      </c>
      <c r="H4047" s="611" t="s">
        <v>626</v>
      </c>
    </row>
    <row r="4048" spans="1:8" ht="12.75" customHeight="1">
      <c r="A4048" s="608">
        <v>3</v>
      </c>
      <c r="B4048" s="706" t="s">
        <v>641</v>
      </c>
      <c r="C4048" s="706"/>
      <c r="D4048" s="706"/>
      <c r="E4048" s="706"/>
      <c r="F4048" s="706"/>
      <c r="G4048" s="706"/>
      <c r="H4048" s="706"/>
    </row>
    <row r="4049" spans="1:8" ht="31.5">
      <c r="A4049" s="608" t="s">
        <v>378</v>
      </c>
      <c r="B4049" s="613" t="s">
        <v>642</v>
      </c>
      <c r="C4049" s="610" t="s">
        <v>379</v>
      </c>
      <c r="D4049" s="610" t="s">
        <v>379</v>
      </c>
      <c r="E4049" s="610" t="s">
        <v>379</v>
      </c>
      <c r="F4049" s="610" t="s">
        <v>379</v>
      </c>
      <c r="G4049" s="610" t="s">
        <v>379</v>
      </c>
      <c r="H4049" s="611" t="s">
        <v>626</v>
      </c>
    </row>
    <row r="4050" spans="1:8" ht="15.75">
      <c r="A4050" s="608" t="s">
        <v>643</v>
      </c>
      <c r="B4050" s="613" t="s">
        <v>644</v>
      </c>
      <c r="C4050" s="610" t="s">
        <v>838</v>
      </c>
      <c r="D4050" s="610" t="s">
        <v>839</v>
      </c>
      <c r="E4050" s="610" t="s">
        <v>379</v>
      </c>
      <c r="F4050" s="610" t="s">
        <v>379</v>
      </c>
      <c r="G4050" s="614">
        <v>0</v>
      </c>
      <c r="H4050" s="611"/>
    </row>
    <row r="4051" spans="1:8" ht="15.75">
      <c r="A4051" s="608" t="s">
        <v>380</v>
      </c>
      <c r="B4051" s="613" t="s">
        <v>646</v>
      </c>
      <c r="C4051" s="610" t="s">
        <v>839</v>
      </c>
      <c r="D4051" s="610" t="s">
        <v>840</v>
      </c>
      <c r="E4051" s="610" t="s">
        <v>379</v>
      </c>
      <c r="F4051" s="610" t="s">
        <v>379</v>
      </c>
      <c r="G4051" s="614">
        <v>0</v>
      </c>
      <c r="H4051" s="611"/>
    </row>
    <row r="4052" spans="1:8" ht="15.75">
      <c r="A4052" s="608" t="s">
        <v>649</v>
      </c>
      <c r="B4052" s="613" t="s">
        <v>650</v>
      </c>
      <c r="C4052" s="610" t="s">
        <v>840</v>
      </c>
      <c r="D4052" s="610" t="s">
        <v>841</v>
      </c>
      <c r="E4052" s="610" t="s">
        <v>379</v>
      </c>
      <c r="F4052" s="610" t="s">
        <v>379</v>
      </c>
      <c r="G4052" s="614">
        <v>0</v>
      </c>
      <c r="H4052" s="611"/>
    </row>
    <row r="4053" spans="1:8" ht="15.75">
      <c r="A4053" s="608" t="s">
        <v>653</v>
      </c>
      <c r="B4053" s="613" t="s">
        <v>654</v>
      </c>
      <c r="C4053" s="610" t="s">
        <v>841</v>
      </c>
      <c r="D4053" s="610" t="s">
        <v>725</v>
      </c>
      <c r="E4053" s="610" t="s">
        <v>379</v>
      </c>
      <c r="F4053" s="610" t="s">
        <v>379</v>
      </c>
      <c r="G4053" s="614">
        <v>0</v>
      </c>
      <c r="H4053" s="611"/>
    </row>
    <row r="4054" spans="1:8" ht="12.75" customHeight="1">
      <c r="A4054" s="608">
        <v>4</v>
      </c>
      <c r="B4054" s="706" t="s">
        <v>656</v>
      </c>
      <c r="C4054" s="706"/>
      <c r="D4054" s="706"/>
      <c r="E4054" s="706"/>
      <c r="F4054" s="706"/>
      <c r="G4054" s="706"/>
      <c r="H4054" s="706"/>
    </row>
    <row r="4055" spans="1:8" ht="31.5">
      <c r="A4055" s="608" t="s">
        <v>657</v>
      </c>
      <c r="B4055" s="612" t="s">
        <v>658</v>
      </c>
      <c r="C4055" s="610" t="s">
        <v>379</v>
      </c>
      <c r="D4055" s="610" t="s">
        <v>379</v>
      </c>
      <c r="E4055" s="610" t="s">
        <v>379</v>
      </c>
      <c r="F4055" s="610" t="s">
        <v>379</v>
      </c>
      <c r="G4055" s="610" t="s">
        <v>379</v>
      </c>
      <c r="H4055" s="611" t="s">
        <v>626</v>
      </c>
    </row>
    <row r="4056" spans="1:8" ht="47.25">
      <c r="A4056" s="608" t="s">
        <v>659</v>
      </c>
      <c r="B4056" s="612" t="s">
        <v>660</v>
      </c>
      <c r="C4056" s="610" t="s">
        <v>379</v>
      </c>
      <c r="D4056" s="610" t="s">
        <v>379</v>
      </c>
      <c r="E4056" s="610" t="s">
        <v>379</v>
      </c>
      <c r="F4056" s="610" t="s">
        <v>379</v>
      </c>
      <c r="G4056" s="610" t="s">
        <v>379</v>
      </c>
      <c r="H4056" s="611" t="s">
        <v>626</v>
      </c>
    </row>
    <row r="4057" spans="1:8" ht="31.5">
      <c r="A4057" s="608" t="s">
        <v>661</v>
      </c>
      <c r="B4057" s="613" t="s">
        <v>662</v>
      </c>
      <c r="C4057" s="610" t="s">
        <v>379</v>
      </c>
      <c r="D4057" s="610" t="s">
        <v>379</v>
      </c>
      <c r="E4057" s="610" t="s">
        <v>379</v>
      </c>
      <c r="F4057" s="610" t="s">
        <v>379</v>
      </c>
      <c r="G4057" s="610" t="s">
        <v>379</v>
      </c>
      <c r="H4057" s="611" t="s">
        <v>626</v>
      </c>
    </row>
    <row r="4058" spans="1:8" ht="31.5">
      <c r="A4058" s="615" t="s">
        <v>663</v>
      </c>
      <c r="B4058" s="616" t="s">
        <v>664</v>
      </c>
      <c r="C4058" s="617" t="s">
        <v>379</v>
      </c>
      <c r="D4058" s="617" t="s">
        <v>379</v>
      </c>
      <c r="E4058" s="617" t="s">
        <v>379</v>
      </c>
      <c r="F4058" s="617" t="s">
        <v>379</v>
      </c>
      <c r="G4058" s="617" t="s">
        <v>379</v>
      </c>
      <c r="H4058" s="618" t="s">
        <v>626</v>
      </c>
    </row>
    <row r="4059" spans="1:8" ht="15.75">
      <c r="A4059" s="619"/>
      <c r="B4059" s="620"/>
      <c r="C4059" s="621"/>
      <c r="D4059" s="621"/>
      <c r="E4059" s="621"/>
      <c r="F4059" s="621"/>
      <c r="G4059" s="621"/>
      <c r="H4059" s="148"/>
    </row>
    <row r="4060" spans="1:8" ht="12.75" customHeight="1">
      <c r="A4060" s="707" t="s">
        <v>665</v>
      </c>
      <c r="B4060" s="707"/>
      <c r="C4060" s="707"/>
      <c r="D4060" s="707"/>
      <c r="E4060" s="707"/>
      <c r="F4060" s="707"/>
      <c r="G4060" s="707"/>
      <c r="H4060" s="707"/>
    </row>
    <row r="4063" ht="15.75">
      <c r="H4063" s="11" t="s">
        <v>609</v>
      </c>
    </row>
    <row r="4064" ht="15.75">
      <c r="H4064" s="11" t="s">
        <v>610</v>
      </c>
    </row>
    <row r="4065" ht="15.75">
      <c r="H4065" s="11" t="s">
        <v>611</v>
      </c>
    </row>
    <row r="4066" ht="15.75">
      <c r="H4066" s="11"/>
    </row>
    <row r="4067" spans="1:8" ht="12.75" customHeight="1">
      <c r="A4067" s="713" t="s">
        <v>612</v>
      </c>
      <c r="B4067" s="713"/>
      <c r="C4067" s="713"/>
      <c r="D4067" s="713"/>
      <c r="E4067" s="713"/>
      <c r="F4067" s="713"/>
      <c r="G4067" s="713"/>
      <c r="H4067" s="713"/>
    </row>
    <row r="4068" spans="1:8" ht="12.75" customHeight="1">
      <c r="A4068" s="713" t="s">
        <v>613</v>
      </c>
      <c r="B4068" s="713"/>
      <c r="C4068" s="713"/>
      <c r="D4068" s="713"/>
      <c r="E4068" s="713"/>
      <c r="F4068" s="713"/>
      <c r="G4068" s="713"/>
      <c r="H4068" s="713"/>
    </row>
    <row r="4069" ht="15.75">
      <c r="H4069" s="11" t="s">
        <v>43</v>
      </c>
    </row>
    <row r="4070" ht="15.75">
      <c r="H4070" s="11" t="s">
        <v>44</v>
      </c>
    </row>
    <row r="4071" ht="15.75">
      <c r="H4071" s="11" t="s">
        <v>45</v>
      </c>
    </row>
    <row r="4072" ht="15.75">
      <c r="H4072" s="594" t="s">
        <v>614</v>
      </c>
    </row>
    <row r="4073" ht="15.75">
      <c r="H4073" s="11" t="s">
        <v>615</v>
      </c>
    </row>
    <row r="4074" ht="15.75">
      <c r="H4074" s="11" t="s">
        <v>47</v>
      </c>
    </row>
    <row r="4075" ht="15.75">
      <c r="A4075" s="595"/>
    </row>
    <row r="4076" ht="15.75">
      <c r="A4076" s="3" t="s">
        <v>842</v>
      </c>
    </row>
    <row r="4077" spans="1:8" ht="12.75" customHeight="1">
      <c r="A4077" s="717" t="s">
        <v>0</v>
      </c>
      <c r="B4077" s="714"/>
      <c r="C4077" s="714"/>
      <c r="D4077" s="714"/>
      <c r="E4077" s="714"/>
      <c r="F4077" s="714"/>
      <c r="G4077" s="714"/>
      <c r="H4077" s="714"/>
    </row>
    <row r="4078" spans="1:8" ht="16.5" thickBot="1">
      <c r="A4078" s="597"/>
      <c r="B4078" s="597"/>
      <c r="C4078" s="598"/>
      <c r="D4078" s="598"/>
      <c r="E4078" s="598"/>
      <c r="F4078" s="598"/>
      <c r="G4078" s="598"/>
      <c r="H4078" s="598"/>
    </row>
    <row r="4079" spans="1:8" ht="12.75" customHeight="1">
      <c r="A4079" s="708" t="s">
        <v>617</v>
      </c>
      <c r="B4079" s="710" t="s">
        <v>618</v>
      </c>
      <c r="C4079" s="711" t="s">
        <v>619</v>
      </c>
      <c r="D4079" s="711"/>
      <c r="E4079" s="711"/>
      <c r="F4079" s="711"/>
      <c r="G4079" s="712" t="s">
        <v>620</v>
      </c>
      <c r="H4079" s="708" t="s">
        <v>621</v>
      </c>
    </row>
    <row r="4080" spans="1:8" ht="15.75">
      <c r="A4080" s="708"/>
      <c r="B4080" s="710"/>
      <c r="C4080" s="711"/>
      <c r="D4080" s="711"/>
      <c r="E4080" s="711"/>
      <c r="F4080" s="711"/>
      <c r="G4080" s="712"/>
      <c r="H4080" s="708"/>
    </row>
    <row r="4081" spans="1:8" ht="31.5">
      <c r="A4081" s="708"/>
      <c r="B4081" s="710"/>
      <c r="C4081" s="601" t="s">
        <v>622</v>
      </c>
      <c r="D4081" s="601" t="s">
        <v>623</v>
      </c>
      <c r="E4081" s="602" t="s">
        <v>622</v>
      </c>
      <c r="F4081" s="603" t="s">
        <v>623</v>
      </c>
      <c r="G4081" s="712"/>
      <c r="H4081" s="708"/>
    </row>
    <row r="4082" spans="1:8" ht="15.75">
      <c r="A4082" s="599">
        <v>1</v>
      </c>
      <c r="B4082" s="599">
        <v>2</v>
      </c>
      <c r="C4082" s="604">
        <v>3</v>
      </c>
      <c r="D4082" s="604">
        <v>4</v>
      </c>
      <c r="E4082" s="605"/>
      <c r="F4082" s="606"/>
      <c r="G4082" s="600">
        <v>5</v>
      </c>
      <c r="H4082" s="599">
        <v>6</v>
      </c>
    </row>
    <row r="4083" spans="1:8" ht="12.75" customHeight="1">
      <c r="A4083" s="607">
        <v>1</v>
      </c>
      <c r="B4083" s="709" t="s">
        <v>624</v>
      </c>
      <c r="C4083" s="709"/>
      <c r="D4083" s="709"/>
      <c r="E4083" s="709"/>
      <c r="F4083" s="709"/>
      <c r="G4083" s="709"/>
      <c r="H4083" s="709"/>
    </row>
    <row r="4084" spans="1:8" ht="15.75">
      <c r="A4084" s="608" t="s">
        <v>74</v>
      </c>
      <c r="B4084" s="609" t="s">
        <v>625</v>
      </c>
      <c r="C4084" s="610" t="s">
        <v>379</v>
      </c>
      <c r="D4084" s="610" t="s">
        <v>379</v>
      </c>
      <c r="E4084" s="610" t="s">
        <v>379</v>
      </c>
      <c r="F4084" s="610" t="s">
        <v>379</v>
      </c>
      <c r="G4084" s="610" t="s">
        <v>379</v>
      </c>
      <c r="H4084" s="611" t="s">
        <v>626</v>
      </c>
    </row>
    <row r="4085" spans="1:8" ht="15.75">
      <c r="A4085" s="608" t="s">
        <v>313</v>
      </c>
      <c r="B4085" s="609" t="s">
        <v>627</v>
      </c>
      <c r="C4085" s="610" t="s">
        <v>379</v>
      </c>
      <c r="D4085" s="610" t="s">
        <v>379</v>
      </c>
      <c r="E4085" s="610" t="s">
        <v>379</v>
      </c>
      <c r="F4085" s="610" t="s">
        <v>379</v>
      </c>
      <c r="G4085" s="610" t="s">
        <v>379</v>
      </c>
      <c r="H4085" s="611" t="s">
        <v>626</v>
      </c>
    </row>
    <row r="4086" spans="1:8" ht="31.5">
      <c r="A4086" s="608" t="s">
        <v>315</v>
      </c>
      <c r="B4086" s="612" t="s">
        <v>628</v>
      </c>
      <c r="C4086" s="610" t="s">
        <v>379</v>
      </c>
      <c r="D4086" s="610" t="s">
        <v>379</v>
      </c>
      <c r="E4086" s="610" t="s">
        <v>379</v>
      </c>
      <c r="F4086" s="610" t="s">
        <v>379</v>
      </c>
      <c r="G4086" s="610" t="s">
        <v>379</v>
      </c>
      <c r="H4086" s="611" t="s">
        <v>626</v>
      </c>
    </row>
    <row r="4087" spans="1:8" ht="47.25">
      <c r="A4087" s="608" t="s">
        <v>317</v>
      </c>
      <c r="B4087" s="612" t="s">
        <v>629</v>
      </c>
      <c r="C4087" s="610" t="s">
        <v>379</v>
      </c>
      <c r="D4087" s="610" t="s">
        <v>379</v>
      </c>
      <c r="E4087" s="610" t="s">
        <v>379</v>
      </c>
      <c r="F4087" s="610" t="s">
        <v>379</v>
      </c>
      <c r="G4087" s="610" t="s">
        <v>379</v>
      </c>
      <c r="H4087" s="611" t="s">
        <v>626</v>
      </c>
    </row>
    <row r="4088" spans="1:8" ht="15.75">
      <c r="A4088" s="608" t="s">
        <v>630</v>
      </c>
      <c r="B4088" s="613" t="s">
        <v>631</v>
      </c>
      <c r="C4088" s="610" t="s">
        <v>379</v>
      </c>
      <c r="D4088" s="610" t="s">
        <v>379</v>
      </c>
      <c r="E4088" s="610" t="s">
        <v>379</v>
      </c>
      <c r="F4088" s="610" t="s">
        <v>379</v>
      </c>
      <c r="G4088" s="610" t="s">
        <v>379</v>
      </c>
      <c r="H4088" s="611" t="s">
        <v>626</v>
      </c>
    </row>
    <row r="4089" spans="1:8" ht="15.75">
      <c r="A4089" s="608" t="s">
        <v>632</v>
      </c>
      <c r="B4089" s="613" t="s">
        <v>633</v>
      </c>
      <c r="C4089" s="610" t="s">
        <v>379</v>
      </c>
      <c r="D4089" s="610" t="s">
        <v>379</v>
      </c>
      <c r="E4089" s="610" t="s">
        <v>379</v>
      </c>
      <c r="F4089" s="610" t="s">
        <v>379</v>
      </c>
      <c r="G4089" s="610" t="s">
        <v>379</v>
      </c>
      <c r="H4089" s="611" t="s">
        <v>626</v>
      </c>
    </row>
    <row r="4090" spans="1:8" ht="12.75" customHeight="1">
      <c r="A4090" s="608">
        <v>2</v>
      </c>
      <c r="B4090" s="706" t="s">
        <v>634</v>
      </c>
      <c r="C4090" s="706"/>
      <c r="D4090" s="706"/>
      <c r="E4090" s="706"/>
      <c r="F4090" s="706"/>
      <c r="G4090" s="706"/>
      <c r="H4090" s="706"/>
    </row>
    <row r="4091" spans="1:8" ht="31.5">
      <c r="A4091" s="608" t="s">
        <v>321</v>
      </c>
      <c r="B4091" s="612" t="s">
        <v>635</v>
      </c>
      <c r="C4091" s="610" t="s">
        <v>838</v>
      </c>
      <c r="D4091" s="610" t="s">
        <v>725</v>
      </c>
      <c r="E4091" s="610" t="s">
        <v>379</v>
      </c>
      <c r="F4091" s="610" t="s">
        <v>379</v>
      </c>
      <c r="G4091" s="614">
        <v>0</v>
      </c>
      <c r="H4091" s="611"/>
    </row>
    <row r="4092" spans="1:8" ht="47.25">
      <c r="A4092" s="608" t="s">
        <v>325</v>
      </c>
      <c r="B4092" s="612" t="s">
        <v>638</v>
      </c>
      <c r="C4092" s="610" t="s">
        <v>379</v>
      </c>
      <c r="D4092" s="610" t="s">
        <v>379</v>
      </c>
      <c r="E4092" s="610" t="s">
        <v>379</v>
      </c>
      <c r="F4092" s="610" t="s">
        <v>379</v>
      </c>
      <c r="G4092" s="610" t="s">
        <v>379</v>
      </c>
      <c r="H4092" s="611" t="s">
        <v>626</v>
      </c>
    </row>
    <row r="4093" spans="1:8" ht="31.5">
      <c r="A4093" s="608" t="s">
        <v>639</v>
      </c>
      <c r="B4093" s="612" t="s">
        <v>640</v>
      </c>
      <c r="C4093" s="610" t="s">
        <v>379</v>
      </c>
      <c r="D4093" s="610" t="s">
        <v>379</v>
      </c>
      <c r="E4093" s="610" t="s">
        <v>379</v>
      </c>
      <c r="F4093" s="610" t="s">
        <v>379</v>
      </c>
      <c r="G4093" s="610" t="s">
        <v>379</v>
      </c>
      <c r="H4093" s="611" t="s">
        <v>626</v>
      </c>
    </row>
    <row r="4094" spans="1:8" ht="12.75" customHeight="1">
      <c r="A4094" s="608">
        <v>3</v>
      </c>
      <c r="B4094" s="706" t="s">
        <v>641</v>
      </c>
      <c r="C4094" s="706"/>
      <c r="D4094" s="706"/>
      <c r="E4094" s="706"/>
      <c r="F4094" s="706"/>
      <c r="G4094" s="706"/>
      <c r="H4094" s="706"/>
    </row>
    <row r="4095" spans="1:8" ht="31.5">
      <c r="A4095" s="608" t="s">
        <v>378</v>
      </c>
      <c r="B4095" s="613" t="s">
        <v>642</v>
      </c>
      <c r="C4095" s="610" t="s">
        <v>379</v>
      </c>
      <c r="D4095" s="610" t="s">
        <v>379</v>
      </c>
      <c r="E4095" s="610" t="s">
        <v>379</v>
      </c>
      <c r="F4095" s="610" t="s">
        <v>379</v>
      </c>
      <c r="G4095" s="610" t="s">
        <v>379</v>
      </c>
      <c r="H4095" s="611" t="s">
        <v>626</v>
      </c>
    </row>
    <row r="4096" spans="1:8" ht="15.75">
      <c r="A4096" s="608" t="s">
        <v>643</v>
      </c>
      <c r="B4096" s="613" t="s">
        <v>644</v>
      </c>
      <c r="C4096" s="610" t="s">
        <v>838</v>
      </c>
      <c r="D4096" s="610" t="s">
        <v>839</v>
      </c>
      <c r="E4096" s="610" t="s">
        <v>379</v>
      </c>
      <c r="F4096" s="610" t="s">
        <v>379</v>
      </c>
      <c r="G4096" s="614">
        <v>0</v>
      </c>
      <c r="H4096" s="611"/>
    </row>
    <row r="4097" spans="1:8" ht="15.75">
      <c r="A4097" s="608" t="s">
        <v>380</v>
      </c>
      <c r="B4097" s="613" t="s">
        <v>646</v>
      </c>
      <c r="C4097" s="610" t="s">
        <v>839</v>
      </c>
      <c r="D4097" s="610" t="s">
        <v>840</v>
      </c>
      <c r="E4097" s="610" t="s">
        <v>379</v>
      </c>
      <c r="F4097" s="610" t="s">
        <v>379</v>
      </c>
      <c r="G4097" s="614">
        <v>0</v>
      </c>
      <c r="H4097" s="611"/>
    </row>
    <row r="4098" spans="1:8" ht="15.75">
      <c r="A4098" s="608" t="s">
        <v>649</v>
      </c>
      <c r="B4098" s="613" t="s">
        <v>650</v>
      </c>
      <c r="C4098" s="610" t="s">
        <v>840</v>
      </c>
      <c r="D4098" s="610" t="s">
        <v>841</v>
      </c>
      <c r="E4098" s="610" t="s">
        <v>379</v>
      </c>
      <c r="F4098" s="610" t="s">
        <v>379</v>
      </c>
      <c r="G4098" s="614">
        <v>0</v>
      </c>
      <c r="H4098" s="611"/>
    </row>
    <row r="4099" spans="1:8" ht="15.75">
      <c r="A4099" s="608" t="s">
        <v>653</v>
      </c>
      <c r="B4099" s="613" t="s">
        <v>654</v>
      </c>
      <c r="C4099" s="610" t="s">
        <v>841</v>
      </c>
      <c r="D4099" s="610" t="s">
        <v>725</v>
      </c>
      <c r="E4099" s="610" t="s">
        <v>379</v>
      </c>
      <c r="F4099" s="610" t="s">
        <v>379</v>
      </c>
      <c r="G4099" s="614">
        <v>0</v>
      </c>
      <c r="H4099" s="611"/>
    </row>
    <row r="4100" spans="1:8" ht="12.75" customHeight="1">
      <c r="A4100" s="608">
        <v>4</v>
      </c>
      <c r="B4100" s="706" t="s">
        <v>656</v>
      </c>
      <c r="C4100" s="706"/>
      <c r="D4100" s="706"/>
      <c r="E4100" s="706"/>
      <c r="F4100" s="706"/>
      <c r="G4100" s="706"/>
      <c r="H4100" s="706"/>
    </row>
    <row r="4101" spans="1:8" ht="31.5">
      <c r="A4101" s="608" t="s">
        <v>657</v>
      </c>
      <c r="B4101" s="612" t="s">
        <v>658</v>
      </c>
      <c r="C4101" s="610" t="s">
        <v>379</v>
      </c>
      <c r="D4101" s="610" t="s">
        <v>379</v>
      </c>
      <c r="E4101" s="610" t="s">
        <v>379</v>
      </c>
      <c r="F4101" s="610" t="s">
        <v>379</v>
      </c>
      <c r="G4101" s="610" t="s">
        <v>379</v>
      </c>
      <c r="H4101" s="611" t="s">
        <v>626</v>
      </c>
    </row>
    <row r="4102" spans="1:8" ht="47.25">
      <c r="A4102" s="608" t="s">
        <v>659</v>
      </c>
      <c r="B4102" s="612" t="s">
        <v>660</v>
      </c>
      <c r="C4102" s="610" t="s">
        <v>379</v>
      </c>
      <c r="D4102" s="610" t="s">
        <v>379</v>
      </c>
      <c r="E4102" s="610" t="s">
        <v>379</v>
      </c>
      <c r="F4102" s="610" t="s">
        <v>379</v>
      </c>
      <c r="G4102" s="610" t="s">
        <v>379</v>
      </c>
      <c r="H4102" s="611" t="s">
        <v>626</v>
      </c>
    </row>
    <row r="4103" spans="1:8" ht="31.5">
      <c r="A4103" s="608" t="s">
        <v>661</v>
      </c>
      <c r="B4103" s="613" t="s">
        <v>662</v>
      </c>
      <c r="C4103" s="610" t="s">
        <v>379</v>
      </c>
      <c r="D4103" s="610" t="s">
        <v>379</v>
      </c>
      <c r="E4103" s="610" t="s">
        <v>379</v>
      </c>
      <c r="F4103" s="610" t="s">
        <v>379</v>
      </c>
      <c r="G4103" s="610" t="s">
        <v>379</v>
      </c>
      <c r="H4103" s="611" t="s">
        <v>626</v>
      </c>
    </row>
    <row r="4104" spans="1:8" ht="31.5">
      <c r="A4104" s="615" t="s">
        <v>663</v>
      </c>
      <c r="B4104" s="616" t="s">
        <v>664</v>
      </c>
      <c r="C4104" s="617" t="s">
        <v>379</v>
      </c>
      <c r="D4104" s="617" t="s">
        <v>379</v>
      </c>
      <c r="E4104" s="617" t="s">
        <v>379</v>
      </c>
      <c r="F4104" s="617" t="s">
        <v>379</v>
      </c>
      <c r="G4104" s="617" t="s">
        <v>379</v>
      </c>
      <c r="H4104" s="618" t="s">
        <v>626</v>
      </c>
    </row>
    <row r="4105" spans="1:8" ht="15.75">
      <c r="A4105" s="619"/>
      <c r="B4105" s="620"/>
      <c r="C4105" s="621"/>
      <c r="D4105" s="621"/>
      <c r="E4105" s="621"/>
      <c r="F4105" s="621"/>
      <c r="G4105" s="621"/>
      <c r="H4105" s="148"/>
    </row>
    <row r="4106" spans="1:8" ht="12.75" customHeight="1">
      <c r="A4106" s="707" t="s">
        <v>665</v>
      </c>
      <c r="B4106" s="707"/>
      <c r="C4106" s="707"/>
      <c r="D4106" s="707"/>
      <c r="E4106" s="707"/>
      <c r="F4106" s="707"/>
      <c r="G4106" s="707"/>
      <c r="H4106" s="707"/>
    </row>
    <row r="4109" ht="15.75">
      <c r="H4109" s="11" t="s">
        <v>609</v>
      </c>
    </row>
    <row r="4110" ht="15.75">
      <c r="H4110" s="11" t="s">
        <v>610</v>
      </c>
    </row>
    <row r="4111" ht="15.75">
      <c r="H4111" s="11" t="s">
        <v>611</v>
      </c>
    </row>
    <row r="4112" ht="15.75">
      <c r="H4112" s="11"/>
    </row>
    <row r="4113" spans="1:8" ht="12.75" customHeight="1">
      <c r="A4113" s="713" t="s">
        <v>612</v>
      </c>
      <c r="B4113" s="713"/>
      <c r="C4113" s="713"/>
      <c r="D4113" s="713"/>
      <c r="E4113" s="713"/>
      <c r="F4113" s="713"/>
      <c r="G4113" s="713"/>
      <c r="H4113" s="713"/>
    </row>
    <row r="4114" spans="1:8" ht="12.75" customHeight="1">
      <c r="A4114" s="713" t="s">
        <v>613</v>
      </c>
      <c r="B4114" s="713"/>
      <c r="C4114" s="713"/>
      <c r="D4114" s="713"/>
      <c r="E4114" s="713"/>
      <c r="F4114" s="713"/>
      <c r="G4114" s="713"/>
      <c r="H4114" s="713"/>
    </row>
    <row r="4115" ht="15.75">
      <c r="H4115" s="11" t="s">
        <v>43</v>
      </c>
    </row>
    <row r="4116" ht="15.75">
      <c r="H4116" s="11" t="s">
        <v>44</v>
      </c>
    </row>
    <row r="4117" ht="15.75">
      <c r="H4117" s="11" t="s">
        <v>45</v>
      </c>
    </row>
    <row r="4118" ht="15.75">
      <c r="H4118" s="594" t="s">
        <v>614</v>
      </c>
    </row>
    <row r="4119" ht="15.75">
      <c r="H4119" s="11" t="s">
        <v>615</v>
      </c>
    </row>
    <row r="4120" ht="15.75">
      <c r="H4120" s="11" t="s">
        <v>47</v>
      </c>
    </row>
    <row r="4121" ht="15.75">
      <c r="A4121" s="595"/>
    </row>
    <row r="4122" ht="15.75">
      <c r="A4122" s="3" t="s">
        <v>843</v>
      </c>
    </row>
    <row r="4123" spans="1:8" ht="12.75" customHeight="1">
      <c r="A4123" s="717" t="s">
        <v>0</v>
      </c>
      <c r="B4123" s="714"/>
      <c r="C4123" s="714"/>
      <c r="D4123" s="714"/>
      <c r="E4123" s="714"/>
      <c r="F4123" s="714"/>
      <c r="G4123" s="714"/>
      <c r="H4123" s="714"/>
    </row>
    <row r="4124" spans="1:8" ht="16.5" thickBot="1">
      <c r="A4124" s="597"/>
      <c r="B4124" s="597"/>
      <c r="C4124" s="598"/>
      <c r="D4124" s="598"/>
      <c r="E4124" s="598"/>
      <c r="F4124" s="598"/>
      <c r="G4124" s="598"/>
      <c r="H4124" s="598"/>
    </row>
    <row r="4125" spans="1:8" ht="12.75" customHeight="1">
      <c r="A4125" s="708" t="s">
        <v>617</v>
      </c>
      <c r="B4125" s="710" t="s">
        <v>618</v>
      </c>
      <c r="C4125" s="711" t="s">
        <v>619</v>
      </c>
      <c r="D4125" s="711"/>
      <c r="E4125" s="711"/>
      <c r="F4125" s="711"/>
      <c r="G4125" s="712" t="s">
        <v>620</v>
      </c>
      <c r="H4125" s="708" t="s">
        <v>621</v>
      </c>
    </row>
    <row r="4126" spans="1:8" ht="15.75">
      <c r="A4126" s="708"/>
      <c r="B4126" s="710"/>
      <c r="C4126" s="711"/>
      <c r="D4126" s="711"/>
      <c r="E4126" s="711"/>
      <c r="F4126" s="711"/>
      <c r="G4126" s="712"/>
      <c r="H4126" s="708"/>
    </row>
    <row r="4127" spans="1:8" ht="31.5">
      <c r="A4127" s="708"/>
      <c r="B4127" s="710"/>
      <c r="C4127" s="601" t="s">
        <v>622</v>
      </c>
      <c r="D4127" s="601" t="s">
        <v>623</v>
      </c>
      <c r="E4127" s="602" t="s">
        <v>622</v>
      </c>
      <c r="F4127" s="603" t="s">
        <v>623</v>
      </c>
      <c r="G4127" s="712"/>
      <c r="H4127" s="708"/>
    </row>
    <row r="4128" spans="1:8" ht="15.75">
      <c r="A4128" s="599">
        <v>1</v>
      </c>
      <c r="B4128" s="599">
        <v>2</v>
      </c>
      <c r="C4128" s="604">
        <v>3</v>
      </c>
      <c r="D4128" s="604">
        <v>4</v>
      </c>
      <c r="E4128" s="605"/>
      <c r="F4128" s="606"/>
      <c r="G4128" s="600">
        <v>5</v>
      </c>
      <c r="H4128" s="599">
        <v>6</v>
      </c>
    </row>
    <row r="4129" spans="1:8" ht="12.75" customHeight="1">
      <c r="A4129" s="607">
        <v>1</v>
      </c>
      <c r="B4129" s="709" t="s">
        <v>624</v>
      </c>
      <c r="C4129" s="709"/>
      <c r="D4129" s="709"/>
      <c r="E4129" s="709"/>
      <c r="F4129" s="709"/>
      <c r="G4129" s="709"/>
      <c r="H4129" s="709"/>
    </row>
    <row r="4130" spans="1:8" ht="15.75">
      <c r="A4130" s="608" t="s">
        <v>74</v>
      </c>
      <c r="B4130" s="609" t="s">
        <v>625</v>
      </c>
      <c r="C4130" s="610" t="s">
        <v>379</v>
      </c>
      <c r="D4130" s="610" t="s">
        <v>379</v>
      </c>
      <c r="E4130" s="610" t="s">
        <v>379</v>
      </c>
      <c r="F4130" s="610" t="s">
        <v>379</v>
      </c>
      <c r="G4130" s="610" t="s">
        <v>379</v>
      </c>
      <c r="H4130" s="611" t="s">
        <v>626</v>
      </c>
    </row>
    <row r="4131" spans="1:8" ht="15.75">
      <c r="A4131" s="608" t="s">
        <v>313</v>
      </c>
      <c r="B4131" s="609" t="s">
        <v>627</v>
      </c>
      <c r="C4131" s="610" t="s">
        <v>379</v>
      </c>
      <c r="D4131" s="610" t="s">
        <v>379</v>
      </c>
      <c r="E4131" s="610" t="s">
        <v>379</v>
      </c>
      <c r="F4131" s="610" t="s">
        <v>379</v>
      </c>
      <c r="G4131" s="610" t="s">
        <v>379</v>
      </c>
      <c r="H4131" s="611" t="s">
        <v>626</v>
      </c>
    </row>
    <row r="4132" spans="1:8" ht="31.5">
      <c r="A4132" s="608" t="s">
        <v>315</v>
      </c>
      <c r="B4132" s="612" t="s">
        <v>628</v>
      </c>
      <c r="C4132" s="610" t="s">
        <v>379</v>
      </c>
      <c r="D4132" s="610" t="s">
        <v>379</v>
      </c>
      <c r="E4132" s="610" t="s">
        <v>379</v>
      </c>
      <c r="F4132" s="610" t="s">
        <v>379</v>
      </c>
      <c r="G4132" s="610" t="s">
        <v>379</v>
      </c>
      <c r="H4132" s="611" t="s">
        <v>626</v>
      </c>
    </row>
    <row r="4133" spans="1:8" ht="47.25">
      <c r="A4133" s="608" t="s">
        <v>317</v>
      </c>
      <c r="B4133" s="612" t="s">
        <v>629</v>
      </c>
      <c r="C4133" s="610" t="s">
        <v>379</v>
      </c>
      <c r="D4133" s="610" t="s">
        <v>379</v>
      </c>
      <c r="E4133" s="610" t="s">
        <v>379</v>
      </c>
      <c r="F4133" s="610" t="s">
        <v>379</v>
      </c>
      <c r="G4133" s="610" t="s">
        <v>379</v>
      </c>
      <c r="H4133" s="611" t="s">
        <v>626</v>
      </c>
    </row>
    <row r="4134" spans="1:8" ht="15.75">
      <c r="A4134" s="608" t="s">
        <v>630</v>
      </c>
      <c r="B4134" s="613" t="s">
        <v>631</v>
      </c>
      <c r="C4134" s="610" t="s">
        <v>379</v>
      </c>
      <c r="D4134" s="610" t="s">
        <v>379</v>
      </c>
      <c r="E4134" s="610" t="s">
        <v>379</v>
      </c>
      <c r="F4134" s="610" t="s">
        <v>379</v>
      </c>
      <c r="G4134" s="610" t="s">
        <v>379</v>
      </c>
      <c r="H4134" s="611" t="s">
        <v>626</v>
      </c>
    </row>
    <row r="4135" spans="1:8" ht="15.75">
      <c r="A4135" s="608" t="s">
        <v>632</v>
      </c>
      <c r="B4135" s="613" t="s">
        <v>633</v>
      </c>
      <c r="C4135" s="610" t="s">
        <v>379</v>
      </c>
      <c r="D4135" s="610" t="s">
        <v>379</v>
      </c>
      <c r="E4135" s="610" t="s">
        <v>379</v>
      </c>
      <c r="F4135" s="610" t="s">
        <v>379</v>
      </c>
      <c r="G4135" s="610" t="s">
        <v>379</v>
      </c>
      <c r="H4135" s="611" t="s">
        <v>626</v>
      </c>
    </row>
    <row r="4136" spans="1:8" ht="12.75" customHeight="1">
      <c r="A4136" s="608">
        <v>2</v>
      </c>
      <c r="B4136" s="706" t="s">
        <v>634</v>
      </c>
      <c r="C4136" s="706"/>
      <c r="D4136" s="706"/>
      <c r="E4136" s="706"/>
      <c r="F4136" s="706"/>
      <c r="G4136" s="706"/>
      <c r="H4136" s="706"/>
    </row>
    <row r="4137" spans="1:8" ht="31.5">
      <c r="A4137" s="608" t="s">
        <v>321</v>
      </c>
      <c r="B4137" s="612" t="s">
        <v>635</v>
      </c>
      <c r="C4137" s="610" t="s">
        <v>838</v>
      </c>
      <c r="D4137" s="610" t="s">
        <v>725</v>
      </c>
      <c r="E4137" s="610" t="s">
        <v>379</v>
      </c>
      <c r="F4137" s="610" t="s">
        <v>379</v>
      </c>
      <c r="G4137" s="614">
        <v>0</v>
      </c>
      <c r="H4137" s="611"/>
    </row>
    <row r="4138" spans="1:8" ht="47.25">
      <c r="A4138" s="608" t="s">
        <v>325</v>
      </c>
      <c r="B4138" s="612" t="s">
        <v>638</v>
      </c>
      <c r="C4138" s="610" t="s">
        <v>379</v>
      </c>
      <c r="D4138" s="610" t="s">
        <v>379</v>
      </c>
      <c r="E4138" s="610" t="s">
        <v>379</v>
      </c>
      <c r="F4138" s="610" t="s">
        <v>379</v>
      </c>
      <c r="G4138" s="610" t="s">
        <v>379</v>
      </c>
      <c r="H4138" s="611" t="s">
        <v>626</v>
      </c>
    </row>
    <row r="4139" spans="1:8" ht="31.5">
      <c r="A4139" s="608" t="s">
        <v>639</v>
      </c>
      <c r="B4139" s="612" t="s">
        <v>640</v>
      </c>
      <c r="C4139" s="610" t="s">
        <v>379</v>
      </c>
      <c r="D4139" s="610" t="s">
        <v>379</v>
      </c>
      <c r="E4139" s="610" t="s">
        <v>379</v>
      </c>
      <c r="F4139" s="610" t="s">
        <v>379</v>
      </c>
      <c r="G4139" s="610" t="s">
        <v>379</v>
      </c>
      <c r="H4139" s="611" t="s">
        <v>626</v>
      </c>
    </row>
    <row r="4140" spans="1:8" ht="12.75" customHeight="1">
      <c r="A4140" s="608">
        <v>3</v>
      </c>
      <c r="B4140" s="706" t="s">
        <v>641</v>
      </c>
      <c r="C4140" s="706"/>
      <c r="D4140" s="706"/>
      <c r="E4140" s="706"/>
      <c r="F4140" s="706"/>
      <c r="G4140" s="706"/>
      <c r="H4140" s="706"/>
    </row>
    <row r="4141" spans="1:8" ht="31.5">
      <c r="A4141" s="608" t="s">
        <v>378</v>
      </c>
      <c r="B4141" s="613" t="s">
        <v>642</v>
      </c>
      <c r="C4141" s="610" t="s">
        <v>379</v>
      </c>
      <c r="D4141" s="610" t="s">
        <v>379</v>
      </c>
      <c r="E4141" s="610" t="s">
        <v>379</v>
      </c>
      <c r="F4141" s="610" t="s">
        <v>379</v>
      </c>
      <c r="G4141" s="610" t="s">
        <v>379</v>
      </c>
      <c r="H4141" s="611" t="s">
        <v>626</v>
      </c>
    </row>
    <row r="4142" spans="1:8" ht="15.75">
      <c r="A4142" s="608" t="s">
        <v>643</v>
      </c>
      <c r="B4142" s="613" t="s">
        <v>644</v>
      </c>
      <c r="C4142" s="610" t="s">
        <v>838</v>
      </c>
      <c r="D4142" s="610" t="s">
        <v>839</v>
      </c>
      <c r="E4142" s="610" t="s">
        <v>379</v>
      </c>
      <c r="F4142" s="610" t="s">
        <v>379</v>
      </c>
      <c r="G4142" s="614">
        <v>0</v>
      </c>
      <c r="H4142" s="611"/>
    </row>
    <row r="4143" spans="1:8" ht="15.75">
      <c r="A4143" s="608" t="s">
        <v>380</v>
      </c>
      <c r="B4143" s="613" t="s">
        <v>646</v>
      </c>
      <c r="C4143" s="610" t="s">
        <v>839</v>
      </c>
      <c r="D4143" s="610" t="s">
        <v>840</v>
      </c>
      <c r="E4143" s="610" t="s">
        <v>379</v>
      </c>
      <c r="F4143" s="610" t="s">
        <v>379</v>
      </c>
      <c r="G4143" s="614">
        <v>0</v>
      </c>
      <c r="H4143" s="611"/>
    </row>
    <row r="4144" spans="1:8" ht="15.75">
      <c r="A4144" s="608" t="s">
        <v>649</v>
      </c>
      <c r="B4144" s="613" t="s">
        <v>650</v>
      </c>
      <c r="C4144" s="610" t="s">
        <v>840</v>
      </c>
      <c r="D4144" s="610" t="s">
        <v>841</v>
      </c>
      <c r="E4144" s="610" t="s">
        <v>379</v>
      </c>
      <c r="F4144" s="610" t="s">
        <v>379</v>
      </c>
      <c r="G4144" s="614">
        <v>0</v>
      </c>
      <c r="H4144" s="611"/>
    </row>
    <row r="4145" spans="1:8" ht="15.75">
      <c r="A4145" s="608" t="s">
        <v>653</v>
      </c>
      <c r="B4145" s="613" t="s">
        <v>654</v>
      </c>
      <c r="C4145" s="610" t="s">
        <v>841</v>
      </c>
      <c r="D4145" s="610" t="s">
        <v>725</v>
      </c>
      <c r="E4145" s="610" t="s">
        <v>379</v>
      </c>
      <c r="F4145" s="610" t="s">
        <v>379</v>
      </c>
      <c r="G4145" s="614">
        <v>0</v>
      </c>
      <c r="H4145" s="611"/>
    </row>
    <row r="4146" spans="1:8" ht="12.75" customHeight="1">
      <c r="A4146" s="608">
        <v>4</v>
      </c>
      <c r="B4146" s="706" t="s">
        <v>656</v>
      </c>
      <c r="C4146" s="706"/>
      <c r="D4146" s="706"/>
      <c r="E4146" s="706"/>
      <c r="F4146" s="706"/>
      <c r="G4146" s="706"/>
      <c r="H4146" s="706"/>
    </row>
    <row r="4147" spans="1:8" ht="31.5">
      <c r="A4147" s="608" t="s">
        <v>657</v>
      </c>
      <c r="B4147" s="612" t="s">
        <v>658</v>
      </c>
      <c r="C4147" s="610" t="s">
        <v>379</v>
      </c>
      <c r="D4147" s="610" t="s">
        <v>379</v>
      </c>
      <c r="E4147" s="610" t="s">
        <v>379</v>
      </c>
      <c r="F4147" s="610" t="s">
        <v>379</v>
      </c>
      <c r="G4147" s="610" t="s">
        <v>379</v>
      </c>
      <c r="H4147" s="611" t="s">
        <v>626</v>
      </c>
    </row>
    <row r="4148" spans="1:8" ht="47.25">
      <c r="A4148" s="608" t="s">
        <v>659</v>
      </c>
      <c r="B4148" s="612" t="s">
        <v>660</v>
      </c>
      <c r="C4148" s="610" t="s">
        <v>379</v>
      </c>
      <c r="D4148" s="610" t="s">
        <v>379</v>
      </c>
      <c r="E4148" s="610" t="s">
        <v>379</v>
      </c>
      <c r="F4148" s="610" t="s">
        <v>379</v>
      </c>
      <c r="G4148" s="610" t="s">
        <v>379</v>
      </c>
      <c r="H4148" s="611" t="s">
        <v>626</v>
      </c>
    </row>
    <row r="4149" spans="1:8" ht="31.5">
      <c r="A4149" s="608" t="s">
        <v>661</v>
      </c>
      <c r="B4149" s="613" t="s">
        <v>662</v>
      </c>
      <c r="C4149" s="610" t="s">
        <v>379</v>
      </c>
      <c r="D4149" s="610" t="s">
        <v>379</v>
      </c>
      <c r="E4149" s="610" t="s">
        <v>379</v>
      </c>
      <c r="F4149" s="610" t="s">
        <v>379</v>
      </c>
      <c r="G4149" s="610" t="s">
        <v>379</v>
      </c>
      <c r="H4149" s="611" t="s">
        <v>626</v>
      </c>
    </row>
    <row r="4150" spans="1:8" ht="31.5">
      <c r="A4150" s="615" t="s">
        <v>663</v>
      </c>
      <c r="B4150" s="616" t="s">
        <v>664</v>
      </c>
      <c r="C4150" s="617" t="s">
        <v>379</v>
      </c>
      <c r="D4150" s="617" t="s">
        <v>379</v>
      </c>
      <c r="E4150" s="617" t="s">
        <v>379</v>
      </c>
      <c r="F4150" s="617" t="s">
        <v>379</v>
      </c>
      <c r="G4150" s="617" t="s">
        <v>379</v>
      </c>
      <c r="H4150" s="618" t="s">
        <v>626</v>
      </c>
    </row>
    <row r="4151" spans="1:8" ht="15.75">
      <c r="A4151" s="619"/>
      <c r="B4151" s="620"/>
      <c r="C4151" s="621"/>
      <c r="D4151" s="621"/>
      <c r="E4151" s="621"/>
      <c r="F4151" s="621"/>
      <c r="G4151" s="621"/>
      <c r="H4151" s="148"/>
    </row>
    <row r="4152" spans="1:8" ht="12.75" customHeight="1">
      <c r="A4152" s="707" t="s">
        <v>665</v>
      </c>
      <c r="B4152" s="707"/>
      <c r="C4152" s="707"/>
      <c r="D4152" s="707"/>
      <c r="E4152" s="707"/>
      <c r="F4152" s="707"/>
      <c r="G4152" s="707"/>
      <c r="H4152" s="707"/>
    </row>
    <row r="4155" ht="15.75">
      <c r="H4155" s="11" t="s">
        <v>609</v>
      </c>
    </row>
    <row r="4156" ht="15.75">
      <c r="H4156" s="11" t="s">
        <v>610</v>
      </c>
    </row>
    <row r="4157" ht="15.75">
      <c r="H4157" s="11" t="s">
        <v>611</v>
      </c>
    </row>
    <row r="4158" ht="15.75">
      <c r="H4158" s="11"/>
    </row>
    <row r="4159" spans="1:8" ht="12.75" customHeight="1">
      <c r="A4159" s="713" t="s">
        <v>612</v>
      </c>
      <c r="B4159" s="713"/>
      <c r="C4159" s="713"/>
      <c r="D4159" s="713"/>
      <c r="E4159" s="713"/>
      <c r="F4159" s="713"/>
      <c r="G4159" s="713"/>
      <c r="H4159" s="713"/>
    </row>
    <row r="4160" spans="1:8" ht="12.75" customHeight="1">
      <c r="A4160" s="713" t="s">
        <v>613</v>
      </c>
      <c r="B4160" s="713"/>
      <c r="C4160" s="713"/>
      <c r="D4160" s="713"/>
      <c r="E4160" s="713"/>
      <c r="F4160" s="713"/>
      <c r="G4160" s="713"/>
      <c r="H4160" s="713"/>
    </row>
    <row r="4161" ht="15.75">
      <c r="H4161" s="11" t="s">
        <v>43</v>
      </c>
    </row>
    <row r="4162" ht="15.75">
      <c r="H4162" s="11" t="s">
        <v>44</v>
      </c>
    </row>
    <row r="4163" ht="15.75">
      <c r="H4163" s="11" t="s">
        <v>45</v>
      </c>
    </row>
    <row r="4164" ht="15.75">
      <c r="H4164" s="594" t="s">
        <v>614</v>
      </c>
    </row>
    <row r="4165" ht="15.75">
      <c r="H4165" s="11" t="s">
        <v>615</v>
      </c>
    </row>
    <row r="4166" ht="15.75">
      <c r="H4166" s="11" t="s">
        <v>47</v>
      </c>
    </row>
    <row r="4167" ht="15.75">
      <c r="A4167" s="595"/>
    </row>
    <row r="4168" ht="15.75">
      <c r="A4168" s="3" t="s">
        <v>844</v>
      </c>
    </row>
    <row r="4169" spans="1:8" ht="12.75" customHeight="1">
      <c r="A4169" s="717" t="s">
        <v>0</v>
      </c>
      <c r="B4169" s="714"/>
      <c r="C4169" s="714"/>
      <c r="D4169" s="714"/>
      <c r="E4169" s="714"/>
      <c r="F4169" s="714"/>
      <c r="G4169" s="714"/>
      <c r="H4169" s="714"/>
    </row>
    <row r="4170" spans="1:8" ht="16.5" thickBot="1">
      <c r="A4170" s="597"/>
      <c r="B4170" s="597"/>
      <c r="C4170" s="598"/>
      <c r="D4170" s="598"/>
      <c r="E4170" s="598"/>
      <c r="F4170" s="598"/>
      <c r="G4170" s="598"/>
      <c r="H4170" s="598"/>
    </row>
    <row r="4171" spans="1:8" ht="12.75" customHeight="1">
      <c r="A4171" s="708" t="s">
        <v>617</v>
      </c>
      <c r="B4171" s="710" t="s">
        <v>618</v>
      </c>
      <c r="C4171" s="711" t="s">
        <v>619</v>
      </c>
      <c r="D4171" s="711"/>
      <c r="E4171" s="711"/>
      <c r="F4171" s="711"/>
      <c r="G4171" s="712" t="s">
        <v>620</v>
      </c>
      <c r="H4171" s="708" t="s">
        <v>621</v>
      </c>
    </row>
    <row r="4172" spans="1:8" ht="15.75">
      <c r="A4172" s="708"/>
      <c r="B4172" s="710"/>
      <c r="C4172" s="711"/>
      <c r="D4172" s="711"/>
      <c r="E4172" s="711"/>
      <c r="F4172" s="711"/>
      <c r="G4172" s="712"/>
      <c r="H4172" s="708"/>
    </row>
    <row r="4173" spans="1:8" ht="31.5">
      <c r="A4173" s="708"/>
      <c r="B4173" s="710"/>
      <c r="C4173" s="601" t="s">
        <v>622</v>
      </c>
      <c r="D4173" s="601" t="s">
        <v>623</v>
      </c>
      <c r="E4173" s="602" t="s">
        <v>622</v>
      </c>
      <c r="F4173" s="603" t="s">
        <v>623</v>
      </c>
      <c r="G4173" s="712"/>
      <c r="H4173" s="708"/>
    </row>
    <row r="4174" spans="1:8" ht="15.75">
      <c r="A4174" s="599">
        <v>1</v>
      </c>
      <c r="B4174" s="599">
        <v>2</v>
      </c>
      <c r="C4174" s="604">
        <v>3</v>
      </c>
      <c r="D4174" s="604">
        <v>4</v>
      </c>
      <c r="E4174" s="605"/>
      <c r="F4174" s="606"/>
      <c r="G4174" s="600">
        <v>5</v>
      </c>
      <c r="H4174" s="599">
        <v>6</v>
      </c>
    </row>
    <row r="4175" spans="1:8" ht="12.75" customHeight="1">
      <c r="A4175" s="607">
        <v>1</v>
      </c>
      <c r="B4175" s="709" t="s">
        <v>624</v>
      </c>
      <c r="C4175" s="709"/>
      <c r="D4175" s="709"/>
      <c r="E4175" s="709"/>
      <c r="F4175" s="709"/>
      <c r="G4175" s="709"/>
      <c r="H4175" s="709"/>
    </row>
    <row r="4176" spans="1:8" ht="15.75">
      <c r="A4176" s="608" t="s">
        <v>74</v>
      </c>
      <c r="B4176" s="609" t="s">
        <v>625</v>
      </c>
      <c r="C4176" s="610" t="s">
        <v>379</v>
      </c>
      <c r="D4176" s="610" t="s">
        <v>379</v>
      </c>
      <c r="E4176" s="610" t="s">
        <v>379</v>
      </c>
      <c r="F4176" s="610" t="s">
        <v>379</v>
      </c>
      <c r="G4176" s="610" t="s">
        <v>379</v>
      </c>
      <c r="H4176" s="611" t="s">
        <v>626</v>
      </c>
    </row>
    <row r="4177" spans="1:8" ht="15.75">
      <c r="A4177" s="608" t="s">
        <v>313</v>
      </c>
      <c r="B4177" s="609" t="s">
        <v>627</v>
      </c>
      <c r="C4177" s="610" t="s">
        <v>379</v>
      </c>
      <c r="D4177" s="610" t="s">
        <v>379</v>
      </c>
      <c r="E4177" s="610" t="s">
        <v>379</v>
      </c>
      <c r="F4177" s="610" t="s">
        <v>379</v>
      </c>
      <c r="G4177" s="610" t="s">
        <v>379</v>
      </c>
      <c r="H4177" s="611" t="s">
        <v>626</v>
      </c>
    </row>
    <row r="4178" spans="1:8" ht="31.5">
      <c r="A4178" s="608" t="s">
        <v>315</v>
      </c>
      <c r="B4178" s="612" t="s">
        <v>628</v>
      </c>
      <c r="C4178" s="610" t="s">
        <v>379</v>
      </c>
      <c r="D4178" s="610" t="s">
        <v>379</v>
      </c>
      <c r="E4178" s="610" t="s">
        <v>379</v>
      </c>
      <c r="F4178" s="610" t="s">
        <v>379</v>
      </c>
      <c r="G4178" s="610" t="s">
        <v>379</v>
      </c>
      <c r="H4178" s="611" t="s">
        <v>626</v>
      </c>
    </row>
    <row r="4179" spans="1:8" ht="47.25">
      <c r="A4179" s="608" t="s">
        <v>317</v>
      </c>
      <c r="B4179" s="612" t="s">
        <v>629</v>
      </c>
      <c r="C4179" s="610" t="s">
        <v>379</v>
      </c>
      <c r="D4179" s="610" t="s">
        <v>379</v>
      </c>
      <c r="E4179" s="610" t="s">
        <v>379</v>
      </c>
      <c r="F4179" s="610" t="s">
        <v>379</v>
      </c>
      <c r="G4179" s="610" t="s">
        <v>379</v>
      </c>
      <c r="H4179" s="611" t="s">
        <v>626</v>
      </c>
    </row>
    <row r="4180" spans="1:8" ht="15.75">
      <c r="A4180" s="608" t="s">
        <v>630</v>
      </c>
      <c r="B4180" s="613" t="s">
        <v>631</v>
      </c>
      <c r="C4180" s="610" t="s">
        <v>379</v>
      </c>
      <c r="D4180" s="610" t="s">
        <v>379</v>
      </c>
      <c r="E4180" s="610" t="s">
        <v>379</v>
      </c>
      <c r="F4180" s="610" t="s">
        <v>379</v>
      </c>
      <c r="G4180" s="610" t="s">
        <v>379</v>
      </c>
      <c r="H4180" s="611" t="s">
        <v>626</v>
      </c>
    </row>
    <row r="4181" spans="1:8" ht="15.75">
      <c r="A4181" s="608" t="s">
        <v>632</v>
      </c>
      <c r="B4181" s="613" t="s">
        <v>633</v>
      </c>
      <c r="C4181" s="610" t="s">
        <v>379</v>
      </c>
      <c r="D4181" s="610" t="s">
        <v>379</v>
      </c>
      <c r="E4181" s="610" t="s">
        <v>379</v>
      </c>
      <c r="F4181" s="610" t="s">
        <v>379</v>
      </c>
      <c r="G4181" s="610" t="s">
        <v>379</v>
      </c>
      <c r="H4181" s="611" t="s">
        <v>626</v>
      </c>
    </row>
    <row r="4182" spans="1:8" ht="12.75" customHeight="1">
      <c r="A4182" s="608">
        <v>2</v>
      </c>
      <c r="B4182" s="706" t="s">
        <v>634</v>
      </c>
      <c r="C4182" s="706"/>
      <c r="D4182" s="706"/>
      <c r="E4182" s="706"/>
      <c r="F4182" s="706"/>
      <c r="G4182" s="706"/>
      <c r="H4182" s="706"/>
    </row>
    <row r="4183" spans="1:8" ht="31.5">
      <c r="A4183" s="608" t="s">
        <v>321</v>
      </c>
      <c r="B4183" s="612" t="s">
        <v>635</v>
      </c>
      <c r="C4183" s="610" t="s">
        <v>832</v>
      </c>
      <c r="D4183" s="610" t="s">
        <v>764</v>
      </c>
      <c r="E4183" s="610" t="s">
        <v>379</v>
      </c>
      <c r="F4183" s="610" t="s">
        <v>379</v>
      </c>
      <c r="G4183" s="614">
        <v>0</v>
      </c>
      <c r="H4183" s="611"/>
    </row>
    <row r="4184" spans="1:8" ht="47.25">
      <c r="A4184" s="608" t="s">
        <v>325</v>
      </c>
      <c r="B4184" s="612" t="s">
        <v>638</v>
      </c>
      <c r="C4184" s="610" t="s">
        <v>379</v>
      </c>
      <c r="D4184" s="610" t="s">
        <v>379</v>
      </c>
      <c r="E4184" s="610" t="s">
        <v>379</v>
      </c>
      <c r="F4184" s="610" t="s">
        <v>379</v>
      </c>
      <c r="G4184" s="610" t="s">
        <v>379</v>
      </c>
      <c r="H4184" s="611" t="s">
        <v>626</v>
      </c>
    </row>
    <row r="4185" spans="1:8" ht="31.5">
      <c r="A4185" s="608" t="s">
        <v>639</v>
      </c>
      <c r="B4185" s="612" t="s">
        <v>640</v>
      </c>
      <c r="C4185" s="610" t="s">
        <v>379</v>
      </c>
      <c r="D4185" s="610" t="s">
        <v>379</v>
      </c>
      <c r="E4185" s="610" t="s">
        <v>379</v>
      </c>
      <c r="F4185" s="610" t="s">
        <v>379</v>
      </c>
      <c r="G4185" s="610" t="s">
        <v>379</v>
      </c>
      <c r="H4185" s="611" t="s">
        <v>626</v>
      </c>
    </row>
    <row r="4186" spans="1:8" ht="12.75" customHeight="1">
      <c r="A4186" s="608">
        <v>3</v>
      </c>
      <c r="B4186" s="706" t="s">
        <v>641</v>
      </c>
      <c r="C4186" s="706"/>
      <c r="D4186" s="706"/>
      <c r="E4186" s="706"/>
      <c r="F4186" s="706"/>
      <c r="G4186" s="706"/>
      <c r="H4186" s="706"/>
    </row>
    <row r="4187" spans="1:8" ht="31.5">
      <c r="A4187" s="608" t="s">
        <v>378</v>
      </c>
      <c r="B4187" s="613" t="s">
        <v>642</v>
      </c>
      <c r="C4187" s="610" t="s">
        <v>379</v>
      </c>
      <c r="D4187" s="610" t="s">
        <v>379</v>
      </c>
      <c r="E4187" s="610" t="s">
        <v>379</v>
      </c>
      <c r="F4187" s="610" t="s">
        <v>379</v>
      </c>
      <c r="G4187" s="610" t="s">
        <v>379</v>
      </c>
      <c r="H4187" s="611" t="s">
        <v>626</v>
      </c>
    </row>
    <row r="4188" spans="1:8" ht="15.75">
      <c r="A4188" s="608" t="s">
        <v>643</v>
      </c>
      <c r="B4188" s="613" t="s">
        <v>644</v>
      </c>
      <c r="C4188" s="610" t="s">
        <v>832</v>
      </c>
      <c r="D4188" s="610" t="s">
        <v>794</v>
      </c>
      <c r="E4188" s="610" t="s">
        <v>379</v>
      </c>
      <c r="F4188" s="610" t="s">
        <v>379</v>
      </c>
      <c r="G4188" s="614">
        <v>0</v>
      </c>
      <c r="H4188" s="611"/>
    </row>
    <row r="4189" spans="1:8" ht="15.75">
      <c r="A4189" s="608" t="s">
        <v>380</v>
      </c>
      <c r="B4189" s="613" t="s">
        <v>646</v>
      </c>
      <c r="C4189" s="610" t="s">
        <v>794</v>
      </c>
      <c r="D4189" s="610" t="s">
        <v>836</v>
      </c>
      <c r="E4189" s="610" t="s">
        <v>379</v>
      </c>
      <c r="F4189" s="610" t="s">
        <v>379</v>
      </c>
      <c r="G4189" s="614">
        <v>0</v>
      </c>
      <c r="H4189" s="611"/>
    </row>
    <row r="4190" spans="1:8" ht="15.75">
      <c r="A4190" s="608" t="s">
        <v>649</v>
      </c>
      <c r="B4190" s="613" t="s">
        <v>650</v>
      </c>
      <c r="C4190" s="610" t="s">
        <v>836</v>
      </c>
      <c r="D4190" s="610" t="s">
        <v>834</v>
      </c>
      <c r="E4190" s="610" t="s">
        <v>379</v>
      </c>
      <c r="F4190" s="610" t="s">
        <v>379</v>
      </c>
      <c r="G4190" s="614">
        <v>0</v>
      </c>
      <c r="H4190" s="611"/>
    </row>
    <row r="4191" spans="1:8" ht="15.75">
      <c r="A4191" s="608" t="s">
        <v>653</v>
      </c>
      <c r="B4191" s="613" t="s">
        <v>654</v>
      </c>
      <c r="C4191" s="610" t="s">
        <v>834</v>
      </c>
      <c r="D4191" s="610" t="s">
        <v>764</v>
      </c>
      <c r="E4191" s="610" t="s">
        <v>379</v>
      </c>
      <c r="F4191" s="610" t="s">
        <v>379</v>
      </c>
      <c r="G4191" s="614">
        <v>0</v>
      </c>
      <c r="H4191" s="611"/>
    </row>
    <row r="4192" spans="1:8" ht="12.75" customHeight="1">
      <c r="A4192" s="608">
        <v>4</v>
      </c>
      <c r="B4192" s="706" t="s">
        <v>656</v>
      </c>
      <c r="C4192" s="706"/>
      <c r="D4192" s="706"/>
      <c r="E4192" s="706"/>
      <c r="F4192" s="706"/>
      <c r="G4192" s="706"/>
      <c r="H4192" s="706"/>
    </row>
    <row r="4193" spans="1:8" ht="31.5">
      <c r="A4193" s="608" t="s">
        <v>657</v>
      </c>
      <c r="B4193" s="612" t="s">
        <v>658</v>
      </c>
      <c r="C4193" s="610" t="s">
        <v>379</v>
      </c>
      <c r="D4193" s="610" t="s">
        <v>379</v>
      </c>
      <c r="E4193" s="610" t="s">
        <v>379</v>
      </c>
      <c r="F4193" s="610" t="s">
        <v>379</v>
      </c>
      <c r="G4193" s="610" t="s">
        <v>379</v>
      </c>
      <c r="H4193" s="611" t="s">
        <v>626</v>
      </c>
    </row>
    <row r="4194" spans="1:8" ht="47.25">
      <c r="A4194" s="608" t="s">
        <v>659</v>
      </c>
      <c r="B4194" s="612" t="s">
        <v>660</v>
      </c>
      <c r="C4194" s="610" t="s">
        <v>379</v>
      </c>
      <c r="D4194" s="610" t="s">
        <v>379</v>
      </c>
      <c r="E4194" s="610" t="s">
        <v>379</v>
      </c>
      <c r="F4194" s="610" t="s">
        <v>379</v>
      </c>
      <c r="G4194" s="610" t="s">
        <v>379</v>
      </c>
      <c r="H4194" s="611" t="s">
        <v>626</v>
      </c>
    </row>
    <row r="4195" spans="1:8" ht="31.5">
      <c r="A4195" s="608" t="s">
        <v>661</v>
      </c>
      <c r="B4195" s="613" t="s">
        <v>662</v>
      </c>
      <c r="C4195" s="610" t="s">
        <v>379</v>
      </c>
      <c r="D4195" s="610" t="s">
        <v>379</v>
      </c>
      <c r="E4195" s="610" t="s">
        <v>379</v>
      </c>
      <c r="F4195" s="610" t="s">
        <v>379</v>
      </c>
      <c r="G4195" s="610" t="s">
        <v>379</v>
      </c>
      <c r="H4195" s="611" t="s">
        <v>626</v>
      </c>
    </row>
    <row r="4196" spans="1:8" ht="31.5">
      <c r="A4196" s="615" t="s">
        <v>663</v>
      </c>
      <c r="B4196" s="616" t="s">
        <v>664</v>
      </c>
      <c r="C4196" s="617" t="s">
        <v>379</v>
      </c>
      <c r="D4196" s="617" t="s">
        <v>379</v>
      </c>
      <c r="E4196" s="617" t="s">
        <v>379</v>
      </c>
      <c r="F4196" s="617" t="s">
        <v>379</v>
      </c>
      <c r="G4196" s="617" t="s">
        <v>379</v>
      </c>
      <c r="H4196" s="618" t="s">
        <v>626</v>
      </c>
    </row>
    <row r="4197" spans="1:8" ht="15.75">
      <c r="A4197" s="619"/>
      <c r="B4197" s="620"/>
      <c r="C4197" s="621"/>
      <c r="D4197" s="621"/>
      <c r="E4197" s="621"/>
      <c r="F4197" s="621"/>
      <c r="G4197" s="621"/>
      <c r="H4197" s="148"/>
    </row>
    <row r="4198" spans="1:8" ht="12.75" customHeight="1">
      <c r="A4198" s="707" t="s">
        <v>665</v>
      </c>
      <c r="B4198" s="707"/>
      <c r="C4198" s="707"/>
      <c r="D4198" s="707"/>
      <c r="E4198" s="707"/>
      <c r="F4198" s="707"/>
      <c r="G4198" s="707"/>
      <c r="H4198" s="707"/>
    </row>
    <row r="4201" ht="15.75">
      <c r="H4201" s="11" t="s">
        <v>609</v>
      </c>
    </row>
    <row r="4202" ht="15.75">
      <c r="H4202" s="11" t="s">
        <v>610</v>
      </c>
    </row>
    <row r="4203" ht="15.75">
      <c r="H4203" s="11" t="s">
        <v>611</v>
      </c>
    </row>
    <row r="4204" ht="15.75">
      <c r="H4204" s="11"/>
    </row>
    <row r="4205" spans="1:8" ht="12.75" customHeight="1">
      <c r="A4205" s="713" t="s">
        <v>612</v>
      </c>
      <c r="B4205" s="713"/>
      <c r="C4205" s="713"/>
      <c r="D4205" s="713"/>
      <c r="E4205" s="713"/>
      <c r="F4205" s="713"/>
      <c r="G4205" s="713"/>
      <c r="H4205" s="713"/>
    </row>
    <row r="4206" spans="1:8" ht="12.75" customHeight="1">
      <c r="A4206" s="713" t="s">
        <v>613</v>
      </c>
      <c r="B4206" s="713"/>
      <c r="C4206" s="713"/>
      <c r="D4206" s="713"/>
      <c r="E4206" s="713"/>
      <c r="F4206" s="713"/>
      <c r="G4206" s="713"/>
      <c r="H4206" s="713"/>
    </row>
    <row r="4207" ht="15.75">
      <c r="H4207" s="11" t="s">
        <v>43</v>
      </c>
    </row>
    <row r="4208" ht="15.75">
      <c r="H4208" s="11" t="s">
        <v>44</v>
      </c>
    </row>
    <row r="4209" ht="15.75">
      <c r="H4209" s="11" t="s">
        <v>45</v>
      </c>
    </row>
    <row r="4210" ht="15.75">
      <c r="H4210" s="594" t="s">
        <v>614</v>
      </c>
    </row>
    <row r="4211" ht="15.75">
      <c r="H4211" s="11" t="s">
        <v>615</v>
      </c>
    </row>
    <row r="4212" ht="15.75">
      <c r="H4212" s="11" t="s">
        <v>47</v>
      </c>
    </row>
    <row r="4213" ht="15.75">
      <c r="A4213" s="595"/>
    </row>
    <row r="4214" ht="15.75">
      <c r="A4214" s="3" t="s">
        <v>845</v>
      </c>
    </row>
    <row r="4215" spans="1:8" ht="12.75" customHeight="1">
      <c r="A4215" s="717" t="s">
        <v>0</v>
      </c>
      <c r="B4215" s="714"/>
      <c r="C4215" s="714"/>
      <c r="D4215" s="714"/>
      <c r="E4215" s="714"/>
      <c r="F4215" s="714"/>
      <c r="G4215" s="714"/>
      <c r="H4215" s="714"/>
    </row>
    <row r="4216" spans="1:8" ht="16.5" thickBot="1">
      <c r="A4216" s="597"/>
      <c r="B4216" s="597"/>
      <c r="C4216" s="598"/>
      <c r="D4216" s="598"/>
      <c r="E4216" s="598"/>
      <c r="F4216" s="598"/>
      <c r="G4216" s="598"/>
      <c r="H4216" s="598"/>
    </row>
    <row r="4217" spans="1:8" ht="12.75" customHeight="1">
      <c r="A4217" s="708" t="s">
        <v>617</v>
      </c>
      <c r="B4217" s="710" t="s">
        <v>618</v>
      </c>
      <c r="C4217" s="711" t="s">
        <v>619</v>
      </c>
      <c r="D4217" s="711"/>
      <c r="E4217" s="711"/>
      <c r="F4217" s="711"/>
      <c r="G4217" s="712" t="s">
        <v>620</v>
      </c>
      <c r="H4217" s="708" t="s">
        <v>621</v>
      </c>
    </row>
    <row r="4218" spans="1:8" ht="15.75">
      <c r="A4218" s="708"/>
      <c r="B4218" s="710"/>
      <c r="C4218" s="711"/>
      <c r="D4218" s="711"/>
      <c r="E4218" s="711"/>
      <c r="F4218" s="711"/>
      <c r="G4218" s="712"/>
      <c r="H4218" s="708"/>
    </row>
    <row r="4219" spans="1:8" ht="31.5">
      <c r="A4219" s="708"/>
      <c r="B4219" s="710"/>
      <c r="C4219" s="601" t="s">
        <v>622</v>
      </c>
      <c r="D4219" s="601" t="s">
        <v>623</v>
      </c>
      <c r="E4219" s="602" t="s">
        <v>622</v>
      </c>
      <c r="F4219" s="603" t="s">
        <v>623</v>
      </c>
      <c r="G4219" s="712"/>
      <c r="H4219" s="708"/>
    </row>
    <row r="4220" spans="1:8" ht="15.75">
      <c r="A4220" s="599">
        <v>1</v>
      </c>
      <c r="B4220" s="599">
        <v>2</v>
      </c>
      <c r="C4220" s="604">
        <v>3</v>
      </c>
      <c r="D4220" s="604">
        <v>4</v>
      </c>
      <c r="E4220" s="605"/>
      <c r="F4220" s="606"/>
      <c r="G4220" s="600">
        <v>5</v>
      </c>
      <c r="H4220" s="599">
        <v>6</v>
      </c>
    </row>
    <row r="4221" spans="1:8" ht="12.75" customHeight="1">
      <c r="A4221" s="607">
        <v>1</v>
      </c>
      <c r="B4221" s="709" t="s">
        <v>624</v>
      </c>
      <c r="C4221" s="709"/>
      <c r="D4221" s="709"/>
      <c r="E4221" s="709"/>
      <c r="F4221" s="709"/>
      <c r="G4221" s="709"/>
      <c r="H4221" s="709"/>
    </row>
    <row r="4222" spans="1:8" ht="15.75">
      <c r="A4222" s="608" t="s">
        <v>74</v>
      </c>
      <c r="B4222" s="609" t="s">
        <v>625</v>
      </c>
      <c r="C4222" s="610" t="s">
        <v>379</v>
      </c>
      <c r="D4222" s="610" t="s">
        <v>379</v>
      </c>
      <c r="E4222" s="610" t="s">
        <v>379</v>
      </c>
      <c r="F4222" s="610" t="s">
        <v>379</v>
      </c>
      <c r="G4222" s="610" t="s">
        <v>379</v>
      </c>
      <c r="H4222" s="611" t="s">
        <v>626</v>
      </c>
    </row>
    <row r="4223" spans="1:8" ht="15.75">
      <c r="A4223" s="608" t="s">
        <v>313</v>
      </c>
      <c r="B4223" s="609" t="s">
        <v>627</v>
      </c>
      <c r="C4223" s="610" t="s">
        <v>379</v>
      </c>
      <c r="D4223" s="610" t="s">
        <v>379</v>
      </c>
      <c r="E4223" s="610" t="s">
        <v>379</v>
      </c>
      <c r="F4223" s="610" t="s">
        <v>379</v>
      </c>
      <c r="G4223" s="610" t="s">
        <v>379</v>
      </c>
      <c r="H4223" s="611" t="s">
        <v>626</v>
      </c>
    </row>
    <row r="4224" spans="1:8" ht="31.5">
      <c r="A4224" s="608" t="s">
        <v>315</v>
      </c>
      <c r="B4224" s="612" t="s">
        <v>628</v>
      </c>
      <c r="C4224" s="610" t="s">
        <v>379</v>
      </c>
      <c r="D4224" s="610" t="s">
        <v>379</v>
      </c>
      <c r="E4224" s="610" t="s">
        <v>379</v>
      </c>
      <c r="F4224" s="610" t="s">
        <v>379</v>
      </c>
      <c r="G4224" s="610" t="s">
        <v>379</v>
      </c>
      <c r="H4224" s="611" t="s">
        <v>626</v>
      </c>
    </row>
    <row r="4225" spans="1:8" ht="47.25">
      <c r="A4225" s="608" t="s">
        <v>317</v>
      </c>
      <c r="B4225" s="612" t="s">
        <v>629</v>
      </c>
      <c r="C4225" s="610" t="s">
        <v>379</v>
      </c>
      <c r="D4225" s="610" t="s">
        <v>379</v>
      </c>
      <c r="E4225" s="610" t="s">
        <v>379</v>
      </c>
      <c r="F4225" s="610" t="s">
        <v>379</v>
      </c>
      <c r="G4225" s="610" t="s">
        <v>379</v>
      </c>
      <c r="H4225" s="611" t="s">
        <v>626</v>
      </c>
    </row>
    <row r="4226" spans="1:8" ht="15.75">
      <c r="A4226" s="608" t="s">
        <v>630</v>
      </c>
      <c r="B4226" s="613" t="s">
        <v>631</v>
      </c>
      <c r="C4226" s="610" t="s">
        <v>379</v>
      </c>
      <c r="D4226" s="610" t="s">
        <v>379</v>
      </c>
      <c r="E4226" s="610" t="s">
        <v>379</v>
      </c>
      <c r="F4226" s="610" t="s">
        <v>379</v>
      </c>
      <c r="G4226" s="610" t="s">
        <v>379</v>
      </c>
      <c r="H4226" s="611" t="s">
        <v>626</v>
      </c>
    </row>
    <row r="4227" spans="1:8" ht="15.75">
      <c r="A4227" s="608" t="s">
        <v>632</v>
      </c>
      <c r="B4227" s="613" t="s">
        <v>633</v>
      </c>
      <c r="C4227" s="610" t="s">
        <v>379</v>
      </c>
      <c r="D4227" s="610" t="s">
        <v>379</v>
      </c>
      <c r="E4227" s="610" t="s">
        <v>379</v>
      </c>
      <c r="F4227" s="610" t="s">
        <v>379</v>
      </c>
      <c r="G4227" s="610" t="s">
        <v>379</v>
      </c>
      <c r="H4227" s="611" t="s">
        <v>626</v>
      </c>
    </row>
    <row r="4228" spans="1:8" ht="12.75" customHeight="1">
      <c r="A4228" s="608">
        <v>2</v>
      </c>
      <c r="B4228" s="706" t="s">
        <v>634</v>
      </c>
      <c r="C4228" s="706"/>
      <c r="D4228" s="706"/>
      <c r="E4228" s="706"/>
      <c r="F4228" s="706"/>
      <c r="G4228" s="706"/>
      <c r="H4228" s="706"/>
    </row>
    <row r="4229" spans="1:8" ht="31.5">
      <c r="A4229" s="608" t="s">
        <v>321</v>
      </c>
      <c r="B4229" s="612" t="s">
        <v>635</v>
      </c>
      <c r="C4229" s="610" t="s">
        <v>832</v>
      </c>
      <c r="D4229" s="610" t="s">
        <v>755</v>
      </c>
      <c r="E4229" s="610" t="s">
        <v>379</v>
      </c>
      <c r="F4229" s="610" t="s">
        <v>379</v>
      </c>
      <c r="G4229" s="614">
        <v>0</v>
      </c>
      <c r="H4229" s="611"/>
    </row>
    <row r="4230" spans="1:8" ht="47.25">
      <c r="A4230" s="608" t="s">
        <v>325</v>
      </c>
      <c r="B4230" s="612" t="s">
        <v>638</v>
      </c>
      <c r="C4230" s="610" t="s">
        <v>379</v>
      </c>
      <c r="D4230" s="610" t="s">
        <v>379</v>
      </c>
      <c r="E4230" s="610" t="s">
        <v>379</v>
      </c>
      <c r="F4230" s="610" t="s">
        <v>379</v>
      </c>
      <c r="G4230" s="610" t="s">
        <v>379</v>
      </c>
      <c r="H4230" s="611" t="s">
        <v>626</v>
      </c>
    </row>
    <row r="4231" spans="1:8" ht="31.5">
      <c r="A4231" s="608" t="s">
        <v>639</v>
      </c>
      <c r="B4231" s="612" t="s">
        <v>640</v>
      </c>
      <c r="C4231" s="610" t="s">
        <v>379</v>
      </c>
      <c r="D4231" s="610" t="s">
        <v>379</v>
      </c>
      <c r="E4231" s="610" t="s">
        <v>379</v>
      </c>
      <c r="F4231" s="610" t="s">
        <v>379</v>
      </c>
      <c r="G4231" s="610" t="s">
        <v>379</v>
      </c>
      <c r="H4231" s="611" t="s">
        <v>626</v>
      </c>
    </row>
    <row r="4232" spans="1:8" ht="12.75" customHeight="1">
      <c r="A4232" s="608">
        <v>3</v>
      </c>
      <c r="B4232" s="706" t="s">
        <v>641</v>
      </c>
      <c r="C4232" s="706"/>
      <c r="D4232" s="706"/>
      <c r="E4232" s="706"/>
      <c r="F4232" s="706"/>
      <c r="G4232" s="706"/>
      <c r="H4232" s="706"/>
    </row>
    <row r="4233" spans="1:8" ht="31.5">
      <c r="A4233" s="608" t="s">
        <v>378</v>
      </c>
      <c r="B4233" s="613" t="s">
        <v>642</v>
      </c>
      <c r="C4233" s="610" t="s">
        <v>379</v>
      </c>
      <c r="D4233" s="610" t="s">
        <v>379</v>
      </c>
      <c r="E4233" s="610" t="s">
        <v>379</v>
      </c>
      <c r="F4233" s="610" t="s">
        <v>379</v>
      </c>
      <c r="G4233" s="610" t="s">
        <v>379</v>
      </c>
      <c r="H4233" s="611" t="s">
        <v>626</v>
      </c>
    </row>
    <row r="4234" spans="1:8" ht="15.75">
      <c r="A4234" s="608" t="s">
        <v>643</v>
      </c>
      <c r="B4234" s="613" t="s">
        <v>644</v>
      </c>
      <c r="C4234" s="610" t="s">
        <v>832</v>
      </c>
      <c r="D4234" s="610" t="s">
        <v>744</v>
      </c>
      <c r="E4234" s="610" t="s">
        <v>379</v>
      </c>
      <c r="F4234" s="610" t="s">
        <v>379</v>
      </c>
      <c r="G4234" s="614">
        <v>0</v>
      </c>
      <c r="H4234" s="611"/>
    </row>
    <row r="4235" spans="1:8" ht="15.75">
      <c r="A4235" s="608" t="s">
        <v>380</v>
      </c>
      <c r="B4235" s="613" t="s">
        <v>646</v>
      </c>
      <c r="C4235" s="610" t="s">
        <v>794</v>
      </c>
      <c r="D4235" s="610" t="s">
        <v>846</v>
      </c>
      <c r="E4235" s="610" t="s">
        <v>379</v>
      </c>
      <c r="F4235" s="610" t="s">
        <v>379</v>
      </c>
      <c r="G4235" s="614">
        <v>0</v>
      </c>
      <c r="H4235" s="611"/>
    </row>
    <row r="4236" spans="1:8" ht="15.75">
      <c r="A4236" s="608" t="s">
        <v>649</v>
      </c>
      <c r="B4236" s="613" t="s">
        <v>650</v>
      </c>
      <c r="C4236" s="610" t="s">
        <v>836</v>
      </c>
      <c r="D4236" s="610" t="s">
        <v>847</v>
      </c>
      <c r="E4236" s="610" t="s">
        <v>379</v>
      </c>
      <c r="F4236" s="610" t="s">
        <v>379</v>
      </c>
      <c r="G4236" s="614">
        <v>0</v>
      </c>
      <c r="H4236" s="611"/>
    </row>
    <row r="4237" spans="1:8" ht="15.75">
      <c r="A4237" s="608" t="s">
        <v>653</v>
      </c>
      <c r="B4237" s="613" t="s">
        <v>654</v>
      </c>
      <c r="C4237" s="610" t="s">
        <v>848</v>
      </c>
      <c r="D4237" s="610" t="s">
        <v>755</v>
      </c>
      <c r="E4237" s="610" t="s">
        <v>379</v>
      </c>
      <c r="F4237" s="610" t="s">
        <v>379</v>
      </c>
      <c r="G4237" s="614">
        <v>0</v>
      </c>
      <c r="H4237" s="611"/>
    </row>
    <row r="4238" spans="1:8" ht="12.75" customHeight="1">
      <c r="A4238" s="608">
        <v>4</v>
      </c>
      <c r="B4238" s="706" t="s">
        <v>656</v>
      </c>
      <c r="C4238" s="706"/>
      <c r="D4238" s="706"/>
      <c r="E4238" s="706"/>
      <c r="F4238" s="706"/>
      <c r="G4238" s="706"/>
      <c r="H4238" s="706"/>
    </row>
    <row r="4239" spans="1:8" ht="31.5">
      <c r="A4239" s="608" t="s">
        <v>657</v>
      </c>
      <c r="B4239" s="612" t="s">
        <v>658</v>
      </c>
      <c r="C4239" s="610" t="s">
        <v>379</v>
      </c>
      <c r="D4239" s="610" t="s">
        <v>379</v>
      </c>
      <c r="E4239" s="610" t="s">
        <v>379</v>
      </c>
      <c r="F4239" s="610" t="s">
        <v>379</v>
      </c>
      <c r="G4239" s="610" t="s">
        <v>379</v>
      </c>
      <c r="H4239" s="611" t="s">
        <v>626</v>
      </c>
    </row>
    <row r="4240" spans="1:8" ht="47.25">
      <c r="A4240" s="608" t="s">
        <v>659</v>
      </c>
      <c r="B4240" s="612" t="s">
        <v>660</v>
      </c>
      <c r="C4240" s="610" t="s">
        <v>379</v>
      </c>
      <c r="D4240" s="610" t="s">
        <v>379</v>
      </c>
      <c r="E4240" s="610" t="s">
        <v>379</v>
      </c>
      <c r="F4240" s="610" t="s">
        <v>379</v>
      </c>
      <c r="G4240" s="610" t="s">
        <v>379</v>
      </c>
      <c r="H4240" s="611" t="s">
        <v>626</v>
      </c>
    </row>
    <row r="4241" spans="1:8" ht="31.5">
      <c r="A4241" s="608" t="s">
        <v>661</v>
      </c>
      <c r="B4241" s="613" t="s">
        <v>662</v>
      </c>
      <c r="C4241" s="610" t="s">
        <v>379</v>
      </c>
      <c r="D4241" s="610" t="s">
        <v>379</v>
      </c>
      <c r="E4241" s="610" t="s">
        <v>379</v>
      </c>
      <c r="F4241" s="610" t="s">
        <v>379</v>
      </c>
      <c r="G4241" s="610" t="s">
        <v>379</v>
      </c>
      <c r="H4241" s="611" t="s">
        <v>626</v>
      </c>
    </row>
    <row r="4242" spans="1:8" ht="31.5">
      <c r="A4242" s="615" t="s">
        <v>663</v>
      </c>
      <c r="B4242" s="616" t="s">
        <v>664</v>
      </c>
      <c r="C4242" s="617" t="s">
        <v>379</v>
      </c>
      <c r="D4242" s="617" t="s">
        <v>379</v>
      </c>
      <c r="E4242" s="617" t="s">
        <v>379</v>
      </c>
      <c r="F4242" s="617" t="s">
        <v>379</v>
      </c>
      <c r="G4242" s="617" t="s">
        <v>379</v>
      </c>
      <c r="H4242" s="618" t="s">
        <v>626</v>
      </c>
    </row>
    <row r="4243" spans="1:8" ht="15.75">
      <c r="A4243" s="619"/>
      <c r="B4243" s="620"/>
      <c r="C4243" s="621"/>
      <c r="D4243" s="621"/>
      <c r="E4243" s="621"/>
      <c r="F4243" s="621"/>
      <c r="G4243" s="621"/>
      <c r="H4243" s="148"/>
    </row>
    <row r="4244" spans="1:8" ht="12.75" customHeight="1">
      <c r="A4244" s="707" t="s">
        <v>665</v>
      </c>
      <c r="B4244" s="707"/>
      <c r="C4244" s="707"/>
      <c r="D4244" s="707"/>
      <c r="E4244" s="707"/>
      <c r="F4244" s="707"/>
      <c r="G4244" s="707"/>
      <c r="H4244" s="707"/>
    </row>
    <row r="4247" ht="15.75">
      <c r="H4247" s="11" t="s">
        <v>609</v>
      </c>
    </row>
    <row r="4248" ht="15.75">
      <c r="H4248" s="11" t="s">
        <v>610</v>
      </c>
    </row>
    <row r="4249" ht="15.75">
      <c r="H4249" s="11" t="s">
        <v>611</v>
      </c>
    </row>
    <row r="4250" ht="15.75">
      <c r="H4250" s="11"/>
    </row>
    <row r="4251" spans="1:8" ht="12.75" customHeight="1">
      <c r="A4251" s="713" t="s">
        <v>612</v>
      </c>
      <c r="B4251" s="713"/>
      <c r="C4251" s="713"/>
      <c r="D4251" s="713"/>
      <c r="E4251" s="713"/>
      <c r="F4251" s="713"/>
      <c r="G4251" s="713"/>
      <c r="H4251" s="713"/>
    </row>
    <row r="4252" spans="1:8" ht="12.75" customHeight="1">
      <c r="A4252" s="713" t="s">
        <v>613</v>
      </c>
      <c r="B4252" s="713"/>
      <c r="C4252" s="713"/>
      <c r="D4252" s="713"/>
      <c r="E4252" s="713"/>
      <c r="F4252" s="713"/>
      <c r="G4252" s="713"/>
      <c r="H4252" s="713"/>
    </row>
    <row r="4253" ht="15.75">
      <c r="H4253" s="11" t="s">
        <v>43</v>
      </c>
    </row>
    <row r="4254" ht="15.75">
      <c r="H4254" s="11" t="s">
        <v>44</v>
      </c>
    </row>
    <row r="4255" ht="15.75">
      <c r="H4255" s="11" t="s">
        <v>45</v>
      </c>
    </row>
    <row r="4256" ht="15.75">
      <c r="H4256" s="594" t="s">
        <v>614</v>
      </c>
    </row>
    <row r="4257" ht="15.75">
      <c r="H4257" s="11" t="s">
        <v>615</v>
      </c>
    </row>
    <row r="4258" ht="15.75">
      <c r="H4258" s="11" t="s">
        <v>47</v>
      </c>
    </row>
    <row r="4259" ht="15.75">
      <c r="A4259" s="595"/>
    </row>
    <row r="4260" ht="15.75">
      <c r="A4260" s="3" t="s">
        <v>849</v>
      </c>
    </row>
    <row r="4261" spans="1:8" ht="12.75" customHeight="1">
      <c r="A4261" s="717" t="s">
        <v>0</v>
      </c>
      <c r="B4261" s="714"/>
      <c r="C4261" s="714"/>
      <c r="D4261" s="714"/>
      <c r="E4261" s="714"/>
      <c r="F4261" s="714"/>
      <c r="G4261" s="714"/>
      <c r="H4261" s="714"/>
    </row>
    <row r="4262" spans="1:8" ht="16.5" thickBot="1">
      <c r="A4262" s="597"/>
      <c r="B4262" s="597"/>
      <c r="C4262" s="598"/>
      <c r="D4262" s="598"/>
      <c r="E4262" s="598"/>
      <c r="F4262" s="598"/>
      <c r="G4262" s="598"/>
      <c r="H4262" s="598"/>
    </row>
    <row r="4263" spans="1:8" ht="12.75" customHeight="1">
      <c r="A4263" s="708" t="s">
        <v>617</v>
      </c>
      <c r="B4263" s="710" t="s">
        <v>618</v>
      </c>
      <c r="C4263" s="711" t="s">
        <v>619</v>
      </c>
      <c r="D4263" s="711"/>
      <c r="E4263" s="711"/>
      <c r="F4263" s="711"/>
      <c r="G4263" s="712" t="s">
        <v>620</v>
      </c>
      <c r="H4263" s="708" t="s">
        <v>621</v>
      </c>
    </row>
    <row r="4264" spans="1:8" ht="15.75">
      <c r="A4264" s="708"/>
      <c r="B4264" s="710"/>
      <c r="C4264" s="711"/>
      <c r="D4264" s="711"/>
      <c r="E4264" s="711"/>
      <c r="F4264" s="711"/>
      <c r="G4264" s="712"/>
      <c r="H4264" s="708"/>
    </row>
    <row r="4265" spans="1:8" ht="31.5">
      <c r="A4265" s="708"/>
      <c r="B4265" s="710"/>
      <c r="C4265" s="601" t="s">
        <v>622</v>
      </c>
      <c r="D4265" s="601" t="s">
        <v>623</v>
      </c>
      <c r="E4265" s="602" t="s">
        <v>622</v>
      </c>
      <c r="F4265" s="603" t="s">
        <v>623</v>
      </c>
      <c r="G4265" s="712"/>
      <c r="H4265" s="708"/>
    </row>
    <row r="4266" spans="1:8" ht="15.75">
      <c r="A4266" s="599">
        <v>1</v>
      </c>
      <c r="B4266" s="599">
        <v>2</v>
      </c>
      <c r="C4266" s="604">
        <v>3</v>
      </c>
      <c r="D4266" s="604">
        <v>4</v>
      </c>
      <c r="E4266" s="605"/>
      <c r="F4266" s="606"/>
      <c r="G4266" s="600">
        <v>5</v>
      </c>
      <c r="H4266" s="599">
        <v>6</v>
      </c>
    </row>
    <row r="4267" spans="1:8" ht="12.75" customHeight="1">
      <c r="A4267" s="607">
        <v>1</v>
      </c>
      <c r="B4267" s="709" t="s">
        <v>624</v>
      </c>
      <c r="C4267" s="709"/>
      <c r="D4267" s="709"/>
      <c r="E4267" s="709"/>
      <c r="F4267" s="709"/>
      <c r="G4267" s="709"/>
      <c r="H4267" s="709"/>
    </row>
    <row r="4268" spans="1:8" ht="15.75">
      <c r="A4268" s="608" t="s">
        <v>74</v>
      </c>
      <c r="B4268" s="609" t="s">
        <v>625</v>
      </c>
      <c r="C4268" s="610" t="s">
        <v>379</v>
      </c>
      <c r="D4268" s="610" t="s">
        <v>379</v>
      </c>
      <c r="E4268" s="610" t="s">
        <v>379</v>
      </c>
      <c r="F4268" s="610" t="s">
        <v>379</v>
      </c>
      <c r="G4268" s="610" t="s">
        <v>379</v>
      </c>
      <c r="H4268" s="611" t="s">
        <v>626</v>
      </c>
    </row>
    <row r="4269" spans="1:8" ht="15.75">
      <c r="A4269" s="608" t="s">
        <v>313</v>
      </c>
      <c r="B4269" s="609" t="s">
        <v>627</v>
      </c>
      <c r="C4269" s="610" t="s">
        <v>379</v>
      </c>
      <c r="D4269" s="610" t="s">
        <v>379</v>
      </c>
      <c r="E4269" s="610" t="s">
        <v>379</v>
      </c>
      <c r="F4269" s="610" t="s">
        <v>379</v>
      </c>
      <c r="G4269" s="610" t="s">
        <v>379</v>
      </c>
      <c r="H4269" s="611" t="s">
        <v>626</v>
      </c>
    </row>
    <row r="4270" spans="1:8" ht="31.5">
      <c r="A4270" s="608" t="s">
        <v>315</v>
      </c>
      <c r="B4270" s="612" t="s">
        <v>628</v>
      </c>
      <c r="C4270" s="610" t="s">
        <v>379</v>
      </c>
      <c r="D4270" s="610" t="s">
        <v>379</v>
      </c>
      <c r="E4270" s="610" t="s">
        <v>379</v>
      </c>
      <c r="F4270" s="610" t="s">
        <v>379</v>
      </c>
      <c r="G4270" s="610" t="s">
        <v>379</v>
      </c>
      <c r="H4270" s="611" t="s">
        <v>626</v>
      </c>
    </row>
    <row r="4271" spans="1:8" ht="47.25">
      <c r="A4271" s="608" t="s">
        <v>317</v>
      </c>
      <c r="B4271" s="612" t="s">
        <v>629</v>
      </c>
      <c r="C4271" s="610" t="s">
        <v>379</v>
      </c>
      <c r="D4271" s="610" t="s">
        <v>379</v>
      </c>
      <c r="E4271" s="610" t="s">
        <v>379</v>
      </c>
      <c r="F4271" s="610" t="s">
        <v>379</v>
      </c>
      <c r="G4271" s="610" t="s">
        <v>379</v>
      </c>
      <c r="H4271" s="611" t="s">
        <v>626</v>
      </c>
    </row>
    <row r="4272" spans="1:8" ht="15.75">
      <c r="A4272" s="608" t="s">
        <v>630</v>
      </c>
      <c r="B4272" s="613" t="s">
        <v>631</v>
      </c>
      <c r="C4272" s="610" t="s">
        <v>379</v>
      </c>
      <c r="D4272" s="610" t="s">
        <v>379</v>
      </c>
      <c r="E4272" s="610" t="s">
        <v>379</v>
      </c>
      <c r="F4272" s="610" t="s">
        <v>379</v>
      </c>
      <c r="G4272" s="610" t="s">
        <v>379</v>
      </c>
      <c r="H4272" s="611" t="s">
        <v>626</v>
      </c>
    </row>
    <row r="4273" spans="1:8" ht="15.75">
      <c r="A4273" s="608" t="s">
        <v>632</v>
      </c>
      <c r="B4273" s="613" t="s">
        <v>633</v>
      </c>
      <c r="C4273" s="610" t="s">
        <v>379</v>
      </c>
      <c r="D4273" s="610" t="s">
        <v>379</v>
      </c>
      <c r="E4273" s="610" t="s">
        <v>379</v>
      </c>
      <c r="F4273" s="610" t="s">
        <v>379</v>
      </c>
      <c r="G4273" s="610" t="s">
        <v>379</v>
      </c>
      <c r="H4273" s="611" t="s">
        <v>626</v>
      </c>
    </row>
    <row r="4274" spans="1:8" ht="12.75" customHeight="1">
      <c r="A4274" s="608">
        <v>2</v>
      </c>
      <c r="B4274" s="706" t="s">
        <v>634</v>
      </c>
      <c r="C4274" s="706"/>
      <c r="D4274" s="706"/>
      <c r="E4274" s="706"/>
      <c r="F4274" s="706"/>
      <c r="G4274" s="706"/>
      <c r="H4274" s="706"/>
    </row>
    <row r="4275" spans="1:8" ht="31.5">
      <c r="A4275" s="608" t="s">
        <v>321</v>
      </c>
      <c r="B4275" s="612" t="s">
        <v>635</v>
      </c>
      <c r="C4275" s="610" t="s">
        <v>832</v>
      </c>
      <c r="D4275" s="610" t="s">
        <v>764</v>
      </c>
      <c r="E4275" s="610" t="s">
        <v>379</v>
      </c>
      <c r="F4275" s="610" t="s">
        <v>379</v>
      </c>
      <c r="G4275" s="614">
        <v>0</v>
      </c>
      <c r="H4275" s="611"/>
    </row>
    <row r="4276" spans="1:8" ht="47.25">
      <c r="A4276" s="608" t="s">
        <v>325</v>
      </c>
      <c r="B4276" s="612" t="s">
        <v>638</v>
      </c>
      <c r="C4276" s="610" t="s">
        <v>379</v>
      </c>
      <c r="D4276" s="610" t="s">
        <v>379</v>
      </c>
      <c r="E4276" s="610" t="s">
        <v>379</v>
      </c>
      <c r="F4276" s="610" t="s">
        <v>379</v>
      </c>
      <c r="G4276" s="610" t="s">
        <v>379</v>
      </c>
      <c r="H4276" s="611" t="s">
        <v>626</v>
      </c>
    </row>
    <row r="4277" spans="1:8" ht="31.5">
      <c r="A4277" s="608" t="s">
        <v>639</v>
      </c>
      <c r="B4277" s="612" t="s">
        <v>640</v>
      </c>
      <c r="C4277" s="610" t="s">
        <v>379</v>
      </c>
      <c r="D4277" s="610" t="s">
        <v>379</v>
      </c>
      <c r="E4277" s="610" t="s">
        <v>379</v>
      </c>
      <c r="F4277" s="610" t="s">
        <v>379</v>
      </c>
      <c r="G4277" s="610" t="s">
        <v>379</v>
      </c>
      <c r="H4277" s="611" t="s">
        <v>626</v>
      </c>
    </row>
    <row r="4278" spans="1:8" ht="12.75" customHeight="1">
      <c r="A4278" s="608">
        <v>3</v>
      </c>
      <c r="B4278" s="706" t="s">
        <v>641</v>
      </c>
      <c r="C4278" s="706"/>
      <c r="D4278" s="706"/>
      <c r="E4278" s="706"/>
      <c r="F4278" s="706"/>
      <c r="G4278" s="706"/>
      <c r="H4278" s="706"/>
    </row>
    <row r="4279" spans="1:8" ht="31.5">
      <c r="A4279" s="608" t="s">
        <v>378</v>
      </c>
      <c r="B4279" s="613" t="s">
        <v>642</v>
      </c>
      <c r="C4279" s="610" t="s">
        <v>379</v>
      </c>
      <c r="D4279" s="610" t="s">
        <v>379</v>
      </c>
      <c r="E4279" s="610" t="s">
        <v>379</v>
      </c>
      <c r="F4279" s="610" t="s">
        <v>379</v>
      </c>
      <c r="G4279" s="610" t="s">
        <v>379</v>
      </c>
      <c r="H4279" s="611" t="s">
        <v>626</v>
      </c>
    </row>
    <row r="4280" spans="1:8" ht="15.75">
      <c r="A4280" s="608" t="s">
        <v>643</v>
      </c>
      <c r="B4280" s="613" t="s">
        <v>644</v>
      </c>
      <c r="C4280" s="610" t="s">
        <v>832</v>
      </c>
      <c r="D4280" s="610" t="s">
        <v>873</v>
      </c>
      <c r="E4280" s="610" t="s">
        <v>379</v>
      </c>
      <c r="F4280" s="610" t="s">
        <v>379</v>
      </c>
      <c r="G4280" s="614">
        <v>0</v>
      </c>
      <c r="H4280" s="611"/>
    </row>
    <row r="4281" spans="1:8" ht="15.75">
      <c r="A4281" s="608" t="s">
        <v>380</v>
      </c>
      <c r="B4281" s="613" t="s">
        <v>646</v>
      </c>
      <c r="C4281" s="610" t="s">
        <v>794</v>
      </c>
      <c r="D4281" s="640" t="s">
        <v>875</v>
      </c>
      <c r="E4281" s="610" t="s">
        <v>379</v>
      </c>
      <c r="F4281" s="610" t="s">
        <v>379</v>
      </c>
      <c r="G4281" s="614">
        <v>0</v>
      </c>
      <c r="H4281" s="611"/>
    </row>
    <row r="4282" spans="1:8" ht="15.75">
      <c r="A4282" s="608" t="s">
        <v>649</v>
      </c>
      <c r="B4282" s="613" t="s">
        <v>650</v>
      </c>
      <c r="C4282" s="610" t="s">
        <v>836</v>
      </c>
      <c r="D4282" s="610" t="s">
        <v>805</v>
      </c>
      <c r="E4282" s="610" t="s">
        <v>379</v>
      </c>
      <c r="F4282" s="610" t="s">
        <v>379</v>
      </c>
      <c r="G4282" s="614">
        <v>0</v>
      </c>
      <c r="H4282" s="611"/>
    </row>
    <row r="4283" spans="1:8" ht="15.75">
      <c r="A4283" s="608" t="s">
        <v>653</v>
      </c>
      <c r="B4283" s="613" t="s">
        <v>654</v>
      </c>
      <c r="C4283" s="610" t="s">
        <v>834</v>
      </c>
      <c r="D4283" s="610" t="s">
        <v>744</v>
      </c>
      <c r="E4283" s="610" t="s">
        <v>379</v>
      </c>
      <c r="F4283" s="610" t="s">
        <v>379</v>
      </c>
      <c r="G4283" s="614">
        <v>0</v>
      </c>
      <c r="H4283" s="611"/>
    </row>
    <row r="4284" spans="1:8" ht="12.75" customHeight="1">
      <c r="A4284" s="608">
        <v>4</v>
      </c>
      <c r="B4284" s="706" t="s">
        <v>656</v>
      </c>
      <c r="C4284" s="706"/>
      <c r="D4284" s="706"/>
      <c r="E4284" s="706"/>
      <c r="F4284" s="706"/>
      <c r="G4284" s="706"/>
      <c r="H4284" s="706"/>
    </row>
    <row r="4285" spans="1:8" ht="31.5">
      <c r="A4285" s="608" t="s">
        <v>657</v>
      </c>
      <c r="B4285" s="612" t="s">
        <v>658</v>
      </c>
      <c r="C4285" s="610" t="s">
        <v>379</v>
      </c>
      <c r="D4285" s="610" t="s">
        <v>379</v>
      </c>
      <c r="E4285" s="610" t="s">
        <v>379</v>
      </c>
      <c r="F4285" s="610" t="s">
        <v>379</v>
      </c>
      <c r="G4285" s="610" t="s">
        <v>379</v>
      </c>
      <c r="H4285" s="611" t="s">
        <v>626</v>
      </c>
    </row>
    <row r="4286" spans="1:8" ht="47.25">
      <c r="A4286" s="608" t="s">
        <v>659</v>
      </c>
      <c r="B4286" s="612" t="s">
        <v>660</v>
      </c>
      <c r="C4286" s="610" t="s">
        <v>379</v>
      </c>
      <c r="D4286" s="610" t="s">
        <v>379</v>
      </c>
      <c r="E4286" s="610" t="s">
        <v>379</v>
      </c>
      <c r="F4286" s="610" t="s">
        <v>379</v>
      </c>
      <c r="G4286" s="610" t="s">
        <v>379</v>
      </c>
      <c r="H4286" s="611" t="s">
        <v>626</v>
      </c>
    </row>
    <row r="4287" spans="1:8" ht="31.5">
      <c r="A4287" s="608" t="s">
        <v>661</v>
      </c>
      <c r="B4287" s="613" t="s">
        <v>662</v>
      </c>
      <c r="C4287" s="610" t="s">
        <v>379</v>
      </c>
      <c r="D4287" s="610" t="s">
        <v>379</v>
      </c>
      <c r="E4287" s="610" t="s">
        <v>379</v>
      </c>
      <c r="F4287" s="610" t="s">
        <v>379</v>
      </c>
      <c r="G4287" s="610" t="s">
        <v>379</v>
      </c>
      <c r="H4287" s="611" t="s">
        <v>626</v>
      </c>
    </row>
    <row r="4288" spans="1:8" ht="31.5">
      <c r="A4288" s="615" t="s">
        <v>663</v>
      </c>
      <c r="B4288" s="616" t="s">
        <v>664</v>
      </c>
      <c r="C4288" s="617" t="s">
        <v>379</v>
      </c>
      <c r="D4288" s="617" t="s">
        <v>379</v>
      </c>
      <c r="E4288" s="617" t="s">
        <v>379</v>
      </c>
      <c r="F4288" s="617" t="s">
        <v>379</v>
      </c>
      <c r="G4288" s="617" t="s">
        <v>379</v>
      </c>
      <c r="H4288" s="618" t="s">
        <v>626</v>
      </c>
    </row>
    <row r="4289" spans="1:8" ht="15.75">
      <c r="A4289" s="619"/>
      <c r="B4289" s="620"/>
      <c r="C4289" s="621"/>
      <c r="D4289" s="621"/>
      <c r="E4289" s="621"/>
      <c r="F4289" s="621"/>
      <c r="G4289" s="621"/>
      <c r="H4289" s="148"/>
    </row>
    <row r="4290" spans="1:8" ht="12.75" customHeight="1">
      <c r="A4290" s="707" t="s">
        <v>665</v>
      </c>
      <c r="B4290" s="707"/>
      <c r="C4290" s="707"/>
      <c r="D4290" s="707"/>
      <c r="E4290" s="707"/>
      <c r="F4290" s="707"/>
      <c r="G4290" s="707"/>
      <c r="H4290" s="707"/>
    </row>
    <row r="4293" ht="15.75">
      <c r="H4293" s="11" t="s">
        <v>609</v>
      </c>
    </row>
    <row r="4294" ht="15.75">
      <c r="H4294" s="11" t="s">
        <v>610</v>
      </c>
    </row>
    <row r="4295" ht="15.75">
      <c r="H4295" s="11" t="s">
        <v>611</v>
      </c>
    </row>
    <row r="4296" ht="15.75">
      <c r="H4296" s="11"/>
    </row>
    <row r="4297" spans="1:8" ht="12.75" customHeight="1">
      <c r="A4297" s="713" t="s">
        <v>612</v>
      </c>
      <c r="B4297" s="713"/>
      <c r="C4297" s="713"/>
      <c r="D4297" s="713"/>
      <c r="E4297" s="713"/>
      <c r="F4297" s="713"/>
      <c r="G4297" s="713"/>
      <c r="H4297" s="713"/>
    </row>
    <row r="4298" spans="1:8" ht="12.75" customHeight="1">
      <c r="A4298" s="713" t="s">
        <v>613</v>
      </c>
      <c r="B4298" s="713"/>
      <c r="C4298" s="713"/>
      <c r="D4298" s="713"/>
      <c r="E4298" s="713"/>
      <c r="F4298" s="713"/>
      <c r="G4298" s="713"/>
      <c r="H4298" s="713"/>
    </row>
    <row r="4299" ht="15.75">
      <c r="H4299" s="11" t="s">
        <v>43</v>
      </c>
    </row>
    <row r="4300" ht="15.75">
      <c r="H4300" s="11" t="s">
        <v>44</v>
      </c>
    </row>
    <row r="4301" ht="15.75">
      <c r="H4301" s="11" t="s">
        <v>45</v>
      </c>
    </row>
    <row r="4302" ht="15.75">
      <c r="H4302" s="594" t="s">
        <v>614</v>
      </c>
    </row>
    <row r="4303" ht="15.75">
      <c r="H4303" s="11" t="s">
        <v>615</v>
      </c>
    </row>
    <row r="4304" ht="15.75">
      <c r="H4304" s="11" t="s">
        <v>47</v>
      </c>
    </row>
    <row r="4305" ht="15.75">
      <c r="A4305" s="595"/>
    </row>
    <row r="4306" ht="15.75">
      <c r="A4306" s="3" t="s">
        <v>850</v>
      </c>
    </row>
    <row r="4307" spans="1:8" ht="12.75" customHeight="1">
      <c r="A4307" s="717" t="s">
        <v>0</v>
      </c>
      <c r="B4307" s="714"/>
      <c r="C4307" s="714"/>
      <c r="D4307" s="714"/>
      <c r="E4307" s="714"/>
      <c r="F4307" s="714"/>
      <c r="G4307" s="714"/>
      <c r="H4307" s="714"/>
    </row>
    <row r="4308" spans="1:8" ht="16.5" thickBot="1">
      <c r="A4308" s="597"/>
      <c r="B4308" s="597"/>
      <c r="C4308" s="598"/>
      <c r="D4308" s="598"/>
      <c r="E4308" s="598"/>
      <c r="F4308" s="598"/>
      <c r="G4308" s="598"/>
      <c r="H4308" s="598"/>
    </row>
    <row r="4309" spans="1:8" ht="12.75" customHeight="1">
      <c r="A4309" s="708" t="s">
        <v>617</v>
      </c>
      <c r="B4309" s="710" t="s">
        <v>618</v>
      </c>
      <c r="C4309" s="711" t="s">
        <v>619</v>
      </c>
      <c r="D4309" s="711"/>
      <c r="E4309" s="711"/>
      <c r="F4309" s="711"/>
      <c r="G4309" s="712" t="s">
        <v>620</v>
      </c>
      <c r="H4309" s="708" t="s">
        <v>621</v>
      </c>
    </row>
    <row r="4310" spans="1:8" ht="15.75">
      <c r="A4310" s="708"/>
      <c r="B4310" s="710"/>
      <c r="C4310" s="711"/>
      <c r="D4310" s="711"/>
      <c r="E4310" s="711"/>
      <c r="F4310" s="711"/>
      <c r="G4310" s="712"/>
      <c r="H4310" s="708"/>
    </row>
    <row r="4311" spans="1:8" ht="31.5">
      <c r="A4311" s="708"/>
      <c r="B4311" s="710"/>
      <c r="C4311" s="601" t="s">
        <v>622</v>
      </c>
      <c r="D4311" s="601" t="s">
        <v>623</v>
      </c>
      <c r="E4311" s="602" t="s">
        <v>622</v>
      </c>
      <c r="F4311" s="603" t="s">
        <v>623</v>
      </c>
      <c r="G4311" s="712"/>
      <c r="H4311" s="708"/>
    </row>
    <row r="4312" spans="1:8" ht="15.75">
      <c r="A4312" s="599">
        <v>1</v>
      </c>
      <c r="B4312" s="599">
        <v>2</v>
      </c>
      <c r="C4312" s="604">
        <v>3</v>
      </c>
      <c r="D4312" s="604">
        <v>4</v>
      </c>
      <c r="E4312" s="605"/>
      <c r="F4312" s="606"/>
      <c r="G4312" s="600">
        <v>5</v>
      </c>
      <c r="H4312" s="599">
        <v>6</v>
      </c>
    </row>
    <row r="4313" spans="1:8" ht="12.75" customHeight="1">
      <c r="A4313" s="607">
        <v>1</v>
      </c>
      <c r="B4313" s="709" t="s">
        <v>624</v>
      </c>
      <c r="C4313" s="709"/>
      <c r="D4313" s="709"/>
      <c r="E4313" s="709"/>
      <c r="F4313" s="709"/>
      <c r="G4313" s="709"/>
      <c r="H4313" s="709"/>
    </row>
    <row r="4314" spans="1:8" ht="15.75">
      <c r="A4314" s="608" t="s">
        <v>74</v>
      </c>
      <c r="B4314" s="609" t="s">
        <v>625</v>
      </c>
      <c r="C4314" s="610" t="s">
        <v>379</v>
      </c>
      <c r="D4314" s="610" t="s">
        <v>379</v>
      </c>
      <c r="E4314" s="610" t="s">
        <v>379</v>
      </c>
      <c r="F4314" s="610" t="s">
        <v>379</v>
      </c>
      <c r="G4314" s="610" t="s">
        <v>379</v>
      </c>
      <c r="H4314" s="611" t="s">
        <v>626</v>
      </c>
    </row>
    <row r="4315" spans="1:8" ht="15.75">
      <c r="A4315" s="608" t="s">
        <v>313</v>
      </c>
      <c r="B4315" s="609" t="s">
        <v>627</v>
      </c>
      <c r="C4315" s="610" t="s">
        <v>379</v>
      </c>
      <c r="D4315" s="610" t="s">
        <v>379</v>
      </c>
      <c r="E4315" s="610" t="s">
        <v>379</v>
      </c>
      <c r="F4315" s="610" t="s">
        <v>379</v>
      </c>
      <c r="G4315" s="610" t="s">
        <v>379</v>
      </c>
      <c r="H4315" s="611" t="s">
        <v>626</v>
      </c>
    </row>
    <row r="4316" spans="1:8" ht="31.5">
      <c r="A4316" s="608" t="s">
        <v>315</v>
      </c>
      <c r="B4316" s="612" t="s">
        <v>628</v>
      </c>
      <c r="C4316" s="610" t="s">
        <v>379</v>
      </c>
      <c r="D4316" s="610" t="s">
        <v>379</v>
      </c>
      <c r="E4316" s="610" t="s">
        <v>379</v>
      </c>
      <c r="F4316" s="610" t="s">
        <v>379</v>
      </c>
      <c r="G4316" s="610" t="s">
        <v>379</v>
      </c>
      <c r="H4316" s="611" t="s">
        <v>626</v>
      </c>
    </row>
    <row r="4317" spans="1:8" ht="47.25">
      <c r="A4317" s="608" t="s">
        <v>317</v>
      </c>
      <c r="B4317" s="612" t="s">
        <v>629</v>
      </c>
      <c r="C4317" s="610" t="s">
        <v>379</v>
      </c>
      <c r="D4317" s="610" t="s">
        <v>379</v>
      </c>
      <c r="E4317" s="610" t="s">
        <v>379</v>
      </c>
      <c r="F4317" s="610" t="s">
        <v>379</v>
      </c>
      <c r="G4317" s="610" t="s">
        <v>379</v>
      </c>
      <c r="H4317" s="611" t="s">
        <v>626</v>
      </c>
    </row>
    <row r="4318" spans="1:8" ht="15.75">
      <c r="A4318" s="608" t="s">
        <v>630</v>
      </c>
      <c r="B4318" s="613" t="s">
        <v>631</v>
      </c>
      <c r="C4318" s="610" t="s">
        <v>379</v>
      </c>
      <c r="D4318" s="610" t="s">
        <v>379</v>
      </c>
      <c r="E4318" s="610" t="s">
        <v>379</v>
      </c>
      <c r="F4318" s="610" t="s">
        <v>379</v>
      </c>
      <c r="G4318" s="610" t="s">
        <v>379</v>
      </c>
      <c r="H4318" s="611" t="s">
        <v>626</v>
      </c>
    </row>
    <row r="4319" spans="1:8" ht="15.75">
      <c r="A4319" s="608" t="s">
        <v>632</v>
      </c>
      <c r="B4319" s="613" t="s">
        <v>633</v>
      </c>
      <c r="C4319" s="610" t="s">
        <v>379</v>
      </c>
      <c r="D4319" s="610" t="s">
        <v>379</v>
      </c>
      <c r="E4319" s="610" t="s">
        <v>379</v>
      </c>
      <c r="F4319" s="610" t="s">
        <v>379</v>
      </c>
      <c r="G4319" s="610" t="s">
        <v>379</v>
      </c>
      <c r="H4319" s="611" t="s">
        <v>626</v>
      </c>
    </row>
    <row r="4320" spans="1:8" ht="12.75" customHeight="1">
      <c r="A4320" s="608">
        <v>2</v>
      </c>
      <c r="B4320" s="706" t="s">
        <v>634</v>
      </c>
      <c r="C4320" s="706"/>
      <c r="D4320" s="706"/>
      <c r="E4320" s="706"/>
      <c r="F4320" s="706"/>
      <c r="G4320" s="706"/>
      <c r="H4320" s="706"/>
    </row>
    <row r="4321" spans="1:8" ht="31.5">
      <c r="A4321" s="608" t="s">
        <v>321</v>
      </c>
      <c r="B4321" s="612" t="s">
        <v>635</v>
      </c>
      <c r="C4321" s="610" t="s">
        <v>851</v>
      </c>
      <c r="D4321" s="610" t="s">
        <v>852</v>
      </c>
      <c r="E4321" s="610" t="s">
        <v>379</v>
      </c>
      <c r="F4321" s="610" t="s">
        <v>379</v>
      </c>
      <c r="G4321" s="614">
        <v>0</v>
      </c>
      <c r="H4321" s="611"/>
    </row>
    <row r="4322" spans="1:8" ht="47.25">
      <c r="A4322" s="608" t="s">
        <v>325</v>
      </c>
      <c r="B4322" s="612" t="s">
        <v>638</v>
      </c>
      <c r="C4322" s="610" t="s">
        <v>379</v>
      </c>
      <c r="D4322" s="610" t="s">
        <v>379</v>
      </c>
      <c r="E4322" s="610" t="s">
        <v>379</v>
      </c>
      <c r="F4322" s="610" t="s">
        <v>379</v>
      </c>
      <c r="G4322" s="610" t="s">
        <v>379</v>
      </c>
      <c r="H4322" s="611" t="s">
        <v>626</v>
      </c>
    </row>
    <row r="4323" spans="1:8" ht="31.5">
      <c r="A4323" s="608" t="s">
        <v>639</v>
      </c>
      <c r="B4323" s="612" t="s">
        <v>640</v>
      </c>
      <c r="C4323" s="610" t="s">
        <v>379</v>
      </c>
      <c r="D4323" s="610" t="s">
        <v>379</v>
      </c>
      <c r="E4323" s="610" t="s">
        <v>379</v>
      </c>
      <c r="F4323" s="610" t="s">
        <v>379</v>
      </c>
      <c r="G4323" s="610" t="s">
        <v>379</v>
      </c>
      <c r="H4323" s="611" t="s">
        <v>626</v>
      </c>
    </row>
    <row r="4324" spans="1:8" ht="12.75" customHeight="1">
      <c r="A4324" s="608">
        <v>3</v>
      </c>
      <c r="B4324" s="706" t="s">
        <v>641</v>
      </c>
      <c r="C4324" s="706"/>
      <c r="D4324" s="706"/>
      <c r="E4324" s="706"/>
      <c r="F4324" s="706"/>
      <c r="G4324" s="706"/>
      <c r="H4324" s="706"/>
    </row>
    <row r="4325" spans="1:8" ht="31.5">
      <c r="A4325" s="608" t="s">
        <v>378</v>
      </c>
      <c r="B4325" s="613" t="s">
        <v>642</v>
      </c>
      <c r="C4325" s="610" t="s">
        <v>379</v>
      </c>
      <c r="D4325" s="610" t="s">
        <v>379</v>
      </c>
      <c r="E4325" s="610" t="s">
        <v>379</v>
      </c>
      <c r="F4325" s="610" t="s">
        <v>379</v>
      </c>
      <c r="G4325" s="610" t="s">
        <v>379</v>
      </c>
      <c r="H4325" s="611" t="s">
        <v>626</v>
      </c>
    </row>
    <row r="4326" spans="1:8" ht="15.75">
      <c r="A4326" s="608" t="s">
        <v>643</v>
      </c>
      <c r="B4326" s="613" t="s">
        <v>644</v>
      </c>
      <c r="C4326" s="610" t="s">
        <v>851</v>
      </c>
      <c r="D4326" s="610" t="s">
        <v>853</v>
      </c>
      <c r="E4326" s="610" t="s">
        <v>379</v>
      </c>
      <c r="F4326" s="610" t="s">
        <v>379</v>
      </c>
      <c r="G4326" s="614">
        <v>0</v>
      </c>
      <c r="H4326" s="611"/>
    </row>
    <row r="4327" spans="1:8" ht="15.75">
      <c r="A4327" s="608" t="s">
        <v>380</v>
      </c>
      <c r="B4327" s="613" t="s">
        <v>646</v>
      </c>
      <c r="C4327" s="610" t="s">
        <v>853</v>
      </c>
      <c r="D4327" s="610" t="s">
        <v>854</v>
      </c>
      <c r="E4327" s="610" t="s">
        <v>379</v>
      </c>
      <c r="F4327" s="610" t="s">
        <v>379</v>
      </c>
      <c r="G4327" s="614">
        <v>0</v>
      </c>
      <c r="H4327" s="611"/>
    </row>
    <row r="4328" spans="1:8" ht="15.75">
      <c r="A4328" s="608" t="s">
        <v>649</v>
      </c>
      <c r="B4328" s="613" t="s">
        <v>650</v>
      </c>
      <c r="C4328" s="610" t="s">
        <v>854</v>
      </c>
      <c r="D4328" s="610" t="s">
        <v>855</v>
      </c>
      <c r="E4328" s="610" t="s">
        <v>379</v>
      </c>
      <c r="F4328" s="610" t="s">
        <v>379</v>
      </c>
      <c r="G4328" s="614">
        <v>0</v>
      </c>
      <c r="H4328" s="611"/>
    </row>
    <row r="4329" spans="1:8" ht="15.75">
      <c r="A4329" s="608" t="s">
        <v>653</v>
      </c>
      <c r="B4329" s="613" t="s">
        <v>654</v>
      </c>
      <c r="C4329" s="610" t="s">
        <v>855</v>
      </c>
      <c r="D4329" s="610" t="s">
        <v>852</v>
      </c>
      <c r="E4329" s="610" t="s">
        <v>379</v>
      </c>
      <c r="F4329" s="610" t="s">
        <v>379</v>
      </c>
      <c r="G4329" s="614">
        <v>0</v>
      </c>
      <c r="H4329" s="611"/>
    </row>
    <row r="4330" spans="1:8" ht="12.75" customHeight="1">
      <c r="A4330" s="608">
        <v>4</v>
      </c>
      <c r="B4330" s="706" t="s">
        <v>656</v>
      </c>
      <c r="C4330" s="706"/>
      <c r="D4330" s="706"/>
      <c r="E4330" s="706"/>
      <c r="F4330" s="706"/>
      <c r="G4330" s="706"/>
      <c r="H4330" s="706"/>
    </row>
    <row r="4331" spans="1:8" ht="31.5">
      <c r="A4331" s="608" t="s">
        <v>657</v>
      </c>
      <c r="B4331" s="612" t="s">
        <v>658</v>
      </c>
      <c r="C4331" s="610" t="s">
        <v>379</v>
      </c>
      <c r="D4331" s="610" t="s">
        <v>379</v>
      </c>
      <c r="E4331" s="610" t="s">
        <v>379</v>
      </c>
      <c r="F4331" s="610" t="s">
        <v>379</v>
      </c>
      <c r="G4331" s="610" t="s">
        <v>379</v>
      </c>
      <c r="H4331" s="611" t="s">
        <v>626</v>
      </c>
    </row>
    <row r="4332" spans="1:8" ht="47.25">
      <c r="A4332" s="608" t="s">
        <v>659</v>
      </c>
      <c r="B4332" s="612" t="s">
        <v>660</v>
      </c>
      <c r="C4332" s="610" t="s">
        <v>379</v>
      </c>
      <c r="D4332" s="610" t="s">
        <v>379</v>
      </c>
      <c r="E4332" s="610" t="s">
        <v>379</v>
      </c>
      <c r="F4332" s="610" t="s">
        <v>379</v>
      </c>
      <c r="G4332" s="610" t="s">
        <v>379</v>
      </c>
      <c r="H4332" s="611" t="s">
        <v>626</v>
      </c>
    </row>
    <row r="4333" spans="1:8" ht="31.5">
      <c r="A4333" s="608" t="s">
        <v>661</v>
      </c>
      <c r="B4333" s="613" t="s">
        <v>662</v>
      </c>
      <c r="C4333" s="610" t="s">
        <v>379</v>
      </c>
      <c r="D4333" s="610" t="s">
        <v>379</v>
      </c>
      <c r="E4333" s="610" t="s">
        <v>379</v>
      </c>
      <c r="F4333" s="610" t="s">
        <v>379</v>
      </c>
      <c r="G4333" s="610" t="s">
        <v>379</v>
      </c>
      <c r="H4333" s="611" t="s">
        <v>626</v>
      </c>
    </row>
    <row r="4334" spans="1:8" ht="31.5">
      <c r="A4334" s="615" t="s">
        <v>663</v>
      </c>
      <c r="B4334" s="616" t="s">
        <v>664</v>
      </c>
      <c r="C4334" s="617" t="s">
        <v>379</v>
      </c>
      <c r="D4334" s="617" t="s">
        <v>379</v>
      </c>
      <c r="E4334" s="617" t="s">
        <v>379</v>
      </c>
      <c r="F4334" s="617" t="s">
        <v>379</v>
      </c>
      <c r="G4334" s="617" t="s">
        <v>379</v>
      </c>
      <c r="H4334" s="618" t="s">
        <v>626</v>
      </c>
    </row>
    <row r="4335" spans="1:8" ht="15.75">
      <c r="A4335" s="619"/>
      <c r="B4335" s="620"/>
      <c r="C4335" s="621"/>
      <c r="D4335" s="621"/>
      <c r="E4335" s="621"/>
      <c r="F4335" s="621"/>
      <c r="G4335" s="621"/>
      <c r="H4335" s="148"/>
    </row>
    <row r="4336" spans="1:8" ht="12.75" customHeight="1">
      <c r="A4336" s="707" t="s">
        <v>665</v>
      </c>
      <c r="B4336" s="707"/>
      <c r="C4336" s="707"/>
      <c r="D4336" s="707"/>
      <c r="E4336" s="707"/>
      <c r="F4336" s="707"/>
      <c r="G4336" s="707"/>
      <c r="H4336" s="707"/>
    </row>
    <row r="4339" ht="15.75">
      <c r="H4339" s="11" t="s">
        <v>609</v>
      </c>
    </row>
    <row r="4340" ht="15.75">
      <c r="H4340" s="11" t="s">
        <v>610</v>
      </c>
    </row>
    <row r="4341" ht="15.75">
      <c r="H4341" s="11" t="s">
        <v>611</v>
      </c>
    </row>
    <row r="4342" ht="15.75">
      <c r="H4342" s="11"/>
    </row>
    <row r="4343" spans="1:8" ht="12.75" customHeight="1">
      <c r="A4343" s="713" t="s">
        <v>612</v>
      </c>
      <c r="B4343" s="713"/>
      <c r="C4343" s="713"/>
      <c r="D4343" s="713"/>
      <c r="E4343" s="713"/>
      <c r="F4343" s="713"/>
      <c r="G4343" s="713"/>
      <c r="H4343" s="713"/>
    </row>
    <row r="4344" spans="1:8" ht="12.75" customHeight="1">
      <c r="A4344" s="713" t="s">
        <v>613</v>
      </c>
      <c r="B4344" s="713"/>
      <c r="C4344" s="713"/>
      <c r="D4344" s="713"/>
      <c r="E4344" s="713"/>
      <c r="F4344" s="713"/>
      <c r="G4344" s="713"/>
      <c r="H4344" s="713"/>
    </row>
    <row r="4345" ht="15.75">
      <c r="H4345" s="11" t="s">
        <v>43</v>
      </c>
    </row>
    <row r="4346" ht="15.75">
      <c r="H4346" s="11" t="s">
        <v>44</v>
      </c>
    </row>
    <row r="4347" ht="15.75">
      <c r="H4347" s="11" t="s">
        <v>45</v>
      </c>
    </row>
    <row r="4348" ht="15.75">
      <c r="H4348" s="594" t="s">
        <v>614</v>
      </c>
    </row>
    <row r="4349" ht="15.75">
      <c r="H4349" s="11" t="s">
        <v>615</v>
      </c>
    </row>
    <row r="4350" ht="15.75">
      <c r="H4350" s="11" t="s">
        <v>47</v>
      </c>
    </row>
    <row r="4351" ht="15.75">
      <c r="A4351" s="595"/>
    </row>
    <row r="4352" ht="15.75">
      <c r="A4352" s="3" t="s">
        <v>856</v>
      </c>
    </row>
    <row r="4353" spans="1:8" ht="12.75" customHeight="1">
      <c r="A4353" s="717" t="s">
        <v>0</v>
      </c>
      <c r="B4353" s="714"/>
      <c r="C4353" s="714"/>
      <c r="D4353" s="714"/>
      <c r="E4353" s="714"/>
      <c r="F4353" s="714"/>
      <c r="G4353" s="714"/>
      <c r="H4353" s="714"/>
    </row>
    <row r="4354" spans="1:8" ht="16.5" thickBot="1">
      <c r="A4354" s="597"/>
      <c r="B4354" s="597"/>
      <c r="C4354" s="598"/>
      <c r="D4354" s="598"/>
      <c r="E4354" s="598"/>
      <c r="F4354" s="598"/>
      <c r="G4354" s="598"/>
      <c r="H4354" s="598"/>
    </row>
    <row r="4355" spans="1:8" ht="12.75" customHeight="1">
      <c r="A4355" s="708" t="s">
        <v>617</v>
      </c>
      <c r="B4355" s="710" t="s">
        <v>618</v>
      </c>
      <c r="C4355" s="711" t="s">
        <v>619</v>
      </c>
      <c r="D4355" s="711"/>
      <c r="E4355" s="711"/>
      <c r="F4355" s="711"/>
      <c r="G4355" s="712" t="s">
        <v>620</v>
      </c>
      <c r="H4355" s="708" t="s">
        <v>621</v>
      </c>
    </row>
    <row r="4356" spans="1:8" ht="15.75">
      <c r="A4356" s="708"/>
      <c r="B4356" s="710"/>
      <c r="C4356" s="711"/>
      <c r="D4356" s="711"/>
      <c r="E4356" s="711"/>
      <c r="F4356" s="711"/>
      <c r="G4356" s="712"/>
      <c r="H4356" s="708"/>
    </row>
    <row r="4357" spans="1:8" ht="31.5">
      <c r="A4357" s="708"/>
      <c r="B4357" s="710"/>
      <c r="C4357" s="601" t="s">
        <v>622</v>
      </c>
      <c r="D4357" s="601" t="s">
        <v>623</v>
      </c>
      <c r="E4357" s="602" t="s">
        <v>622</v>
      </c>
      <c r="F4357" s="603" t="s">
        <v>623</v>
      </c>
      <c r="G4357" s="712"/>
      <c r="H4357" s="708"/>
    </row>
    <row r="4358" spans="1:8" ht="15.75">
      <c r="A4358" s="599">
        <v>1</v>
      </c>
      <c r="B4358" s="599">
        <v>2</v>
      </c>
      <c r="C4358" s="604">
        <v>3</v>
      </c>
      <c r="D4358" s="604">
        <v>4</v>
      </c>
      <c r="E4358" s="605"/>
      <c r="F4358" s="606"/>
      <c r="G4358" s="600">
        <v>5</v>
      </c>
      <c r="H4358" s="599">
        <v>6</v>
      </c>
    </row>
    <row r="4359" spans="1:8" ht="12.75" customHeight="1">
      <c r="A4359" s="607">
        <v>1</v>
      </c>
      <c r="B4359" s="709" t="s">
        <v>624</v>
      </c>
      <c r="C4359" s="709"/>
      <c r="D4359" s="709"/>
      <c r="E4359" s="709"/>
      <c r="F4359" s="709"/>
      <c r="G4359" s="709"/>
      <c r="H4359" s="709"/>
    </row>
    <row r="4360" spans="1:8" ht="15.75">
      <c r="A4360" s="608" t="s">
        <v>74</v>
      </c>
      <c r="B4360" s="609" t="s">
        <v>625</v>
      </c>
      <c r="C4360" s="610" t="s">
        <v>379</v>
      </c>
      <c r="D4360" s="610" t="s">
        <v>379</v>
      </c>
      <c r="E4360" s="610" t="s">
        <v>379</v>
      </c>
      <c r="F4360" s="610" t="s">
        <v>379</v>
      </c>
      <c r="G4360" s="610" t="s">
        <v>379</v>
      </c>
      <c r="H4360" s="611" t="s">
        <v>626</v>
      </c>
    </row>
    <row r="4361" spans="1:8" ht="15.75">
      <c r="A4361" s="608" t="s">
        <v>313</v>
      </c>
      <c r="B4361" s="609" t="s">
        <v>627</v>
      </c>
      <c r="C4361" s="610" t="s">
        <v>379</v>
      </c>
      <c r="D4361" s="610" t="s">
        <v>379</v>
      </c>
      <c r="E4361" s="610" t="s">
        <v>379</v>
      </c>
      <c r="F4361" s="610" t="s">
        <v>379</v>
      </c>
      <c r="G4361" s="610" t="s">
        <v>379</v>
      </c>
      <c r="H4361" s="611" t="s">
        <v>626</v>
      </c>
    </row>
    <row r="4362" spans="1:8" ht="31.5">
      <c r="A4362" s="608" t="s">
        <v>315</v>
      </c>
      <c r="B4362" s="612" t="s">
        <v>628</v>
      </c>
      <c r="C4362" s="610" t="s">
        <v>379</v>
      </c>
      <c r="D4362" s="610" t="s">
        <v>379</v>
      </c>
      <c r="E4362" s="610" t="s">
        <v>379</v>
      </c>
      <c r="F4362" s="610" t="s">
        <v>379</v>
      </c>
      <c r="G4362" s="610" t="s">
        <v>379</v>
      </c>
      <c r="H4362" s="611" t="s">
        <v>626</v>
      </c>
    </row>
    <row r="4363" spans="1:8" ht="47.25">
      <c r="A4363" s="608" t="s">
        <v>317</v>
      </c>
      <c r="B4363" s="612" t="s">
        <v>629</v>
      </c>
      <c r="C4363" s="610" t="s">
        <v>379</v>
      </c>
      <c r="D4363" s="610" t="s">
        <v>379</v>
      </c>
      <c r="E4363" s="610" t="s">
        <v>379</v>
      </c>
      <c r="F4363" s="610" t="s">
        <v>379</v>
      </c>
      <c r="G4363" s="610" t="s">
        <v>379</v>
      </c>
      <c r="H4363" s="611" t="s">
        <v>626</v>
      </c>
    </row>
    <row r="4364" spans="1:8" ht="15.75">
      <c r="A4364" s="608" t="s">
        <v>630</v>
      </c>
      <c r="B4364" s="613" t="s">
        <v>631</v>
      </c>
      <c r="C4364" s="610" t="s">
        <v>379</v>
      </c>
      <c r="D4364" s="610" t="s">
        <v>379</v>
      </c>
      <c r="E4364" s="610" t="s">
        <v>379</v>
      </c>
      <c r="F4364" s="610" t="s">
        <v>379</v>
      </c>
      <c r="G4364" s="610" t="s">
        <v>379</v>
      </c>
      <c r="H4364" s="611" t="s">
        <v>626</v>
      </c>
    </row>
    <row r="4365" spans="1:8" ht="15.75">
      <c r="A4365" s="608" t="s">
        <v>632</v>
      </c>
      <c r="B4365" s="613" t="s">
        <v>633</v>
      </c>
      <c r="C4365" s="610" t="s">
        <v>379</v>
      </c>
      <c r="D4365" s="610" t="s">
        <v>379</v>
      </c>
      <c r="E4365" s="610" t="s">
        <v>379</v>
      </c>
      <c r="F4365" s="610" t="s">
        <v>379</v>
      </c>
      <c r="G4365" s="610" t="s">
        <v>379</v>
      </c>
      <c r="H4365" s="611" t="s">
        <v>626</v>
      </c>
    </row>
    <row r="4366" spans="1:8" ht="12.75" customHeight="1">
      <c r="A4366" s="608">
        <v>2</v>
      </c>
      <c r="B4366" s="706" t="s">
        <v>634</v>
      </c>
      <c r="C4366" s="706"/>
      <c r="D4366" s="706"/>
      <c r="E4366" s="706"/>
      <c r="F4366" s="706"/>
      <c r="G4366" s="706"/>
      <c r="H4366" s="706"/>
    </row>
    <row r="4367" spans="1:8" ht="31.5">
      <c r="A4367" s="608" t="s">
        <v>321</v>
      </c>
      <c r="B4367" s="612" t="s">
        <v>635</v>
      </c>
      <c r="C4367" s="610" t="s">
        <v>827</v>
      </c>
      <c r="D4367" s="610" t="s">
        <v>723</v>
      </c>
      <c r="E4367" s="610" t="s">
        <v>379</v>
      </c>
      <c r="F4367" s="610" t="s">
        <v>379</v>
      </c>
      <c r="G4367" s="614">
        <v>0</v>
      </c>
      <c r="H4367" s="611"/>
    </row>
    <row r="4368" spans="1:8" ht="47.25">
      <c r="A4368" s="608" t="s">
        <v>325</v>
      </c>
      <c r="B4368" s="612" t="s">
        <v>638</v>
      </c>
      <c r="C4368" s="610" t="s">
        <v>379</v>
      </c>
      <c r="D4368" s="610" t="s">
        <v>379</v>
      </c>
      <c r="E4368" s="610" t="s">
        <v>379</v>
      </c>
      <c r="F4368" s="610" t="s">
        <v>379</v>
      </c>
      <c r="G4368" s="610" t="s">
        <v>379</v>
      </c>
      <c r="H4368" s="611" t="s">
        <v>626</v>
      </c>
    </row>
    <row r="4369" spans="1:8" ht="31.5">
      <c r="A4369" s="608" t="s">
        <v>639</v>
      </c>
      <c r="B4369" s="612" t="s">
        <v>640</v>
      </c>
      <c r="C4369" s="610" t="s">
        <v>379</v>
      </c>
      <c r="D4369" s="610" t="s">
        <v>379</v>
      </c>
      <c r="E4369" s="610" t="s">
        <v>379</v>
      </c>
      <c r="F4369" s="610" t="s">
        <v>379</v>
      </c>
      <c r="G4369" s="610" t="s">
        <v>379</v>
      </c>
      <c r="H4369" s="611" t="s">
        <v>626</v>
      </c>
    </row>
    <row r="4370" spans="1:8" ht="12.75" customHeight="1">
      <c r="A4370" s="608">
        <v>3</v>
      </c>
      <c r="B4370" s="706" t="s">
        <v>641</v>
      </c>
      <c r="C4370" s="706"/>
      <c r="D4370" s="706"/>
      <c r="E4370" s="706"/>
      <c r="F4370" s="706"/>
      <c r="G4370" s="706"/>
      <c r="H4370" s="706"/>
    </row>
    <row r="4371" spans="1:8" ht="31.5">
      <c r="A4371" s="608" t="s">
        <v>378</v>
      </c>
      <c r="B4371" s="613" t="s">
        <v>642</v>
      </c>
      <c r="C4371" s="610" t="s">
        <v>379</v>
      </c>
      <c r="D4371" s="610" t="s">
        <v>379</v>
      </c>
      <c r="E4371" s="610" t="s">
        <v>379</v>
      </c>
      <c r="F4371" s="610" t="s">
        <v>379</v>
      </c>
      <c r="G4371" s="610" t="s">
        <v>379</v>
      </c>
      <c r="H4371" s="611" t="s">
        <v>626</v>
      </c>
    </row>
    <row r="4372" spans="1:8" ht="15.75">
      <c r="A4372" s="608" t="s">
        <v>643</v>
      </c>
      <c r="B4372" s="613" t="s">
        <v>644</v>
      </c>
      <c r="C4372" s="610" t="s">
        <v>827</v>
      </c>
      <c r="D4372" s="610" t="s">
        <v>825</v>
      </c>
      <c r="E4372" s="610" t="s">
        <v>379</v>
      </c>
      <c r="F4372" s="610" t="s">
        <v>379</v>
      </c>
      <c r="G4372" s="614">
        <v>0</v>
      </c>
      <c r="H4372" s="611"/>
    </row>
    <row r="4373" spans="1:8" ht="15.75">
      <c r="A4373" s="608" t="s">
        <v>380</v>
      </c>
      <c r="B4373" s="613" t="s">
        <v>646</v>
      </c>
      <c r="C4373" s="610" t="s">
        <v>721</v>
      </c>
      <c r="D4373" s="610" t="s">
        <v>829</v>
      </c>
      <c r="E4373" s="610" t="s">
        <v>379</v>
      </c>
      <c r="F4373" s="610" t="s">
        <v>379</v>
      </c>
      <c r="G4373" s="614">
        <v>0</v>
      </c>
      <c r="H4373" s="611"/>
    </row>
    <row r="4374" spans="1:8" ht="15.75">
      <c r="A4374" s="608" t="s">
        <v>649</v>
      </c>
      <c r="B4374" s="613" t="s">
        <v>650</v>
      </c>
      <c r="C4374" s="610" t="s">
        <v>829</v>
      </c>
      <c r="D4374" s="610" t="s">
        <v>857</v>
      </c>
      <c r="E4374" s="610" t="s">
        <v>379</v>
      </c>
      <c r="F4374" s="610" t="s">
        <v>379</v>
      </c>
      <c r="G4374" s="614">
        <v>0</v>
      </c>
      <c r="H4374" s="611"/>
    </row>
    <row r="4375" spans="1:8" ht="15.75">
      <c r="A4375" s="608" t="s">
        <v>653</v>
      </c>
      <c r="B4375" s="613" t="s">
        <v>654</v>
      </c>
      <c r="C4375" s="610" t="s">
        <v>857</v>
      </c>
      <c r="D4375" s="610" t="s">
        <v>723</v>
      </c>
      <c r="E4375" s="610" t="s">
        <v>379</v>
      </c>
      <c r="F4375" s="610" t="s">
        <v>379</v>
      </c>
      <c r="G4375" s="614">
        <v>0</v>
      </c>
      <c r="H4375" s="611"/>
    </row>
    <row r="4376" spans="1:8" ht="12.75" customHeight="1">
      <c r="A4376" s="608">
        <v>4</v>
      </c>
      <c r="B4376" s="706" t="s">
        <v>656</v>
      </c>
      <c r="C4376" s="706"/>
      <c r="D4376" s="706"/>
      <c r="E4376" s="706"/>
      <c r="F4376" s="706"/>
      <c r="G4376" s="706"/>
      <c r="H4376" s="706"/>
    </row>
    <row r="4377" spans="1:8" ht="31.5">
      <c r="A4377" s="608" t="s">
        <v>657</v>
      </c>
      <c r="B4377" s="612" t="s">
        <v>658</v>
      </c>
      <c r="C4377" s="610" t="s">
        <v>379</v>
      </c>
      <c r="D4377" s="610" t="s">
        <v>379</v>
      </c>
      <c r="E4377" s="610" t="s">
        <v>379</v>
      </c>
      <c r="F4377" s="610" t="s">
        <v>379</v>
      </c>
      <c r="G4377" s="610" t="s">
        <v>379</v>
      </c>
      <c r="H4377" s="611" t="s">
        <v>626</v>
      </c>
    </row>
    <row r="4378" spans="1:8" ht="47.25">
      <c r="A4378" s="608" t="s">
        <v>659</v>
      </c>
      <c r="B4378" s="612" t="s">
        <v>660</v>
      </c>
      <c r="C4378" s="610" t="s">
        <v>379</v>
      </c>
      <c r="D4378" s="610" t="s">
        <v>379</v>
      </c>
      <c r="E4378" s="610" t="s">
        <v>379</v>
      </c>
      <c r="F4378" s="610" t="s">
        <v>379</v>
      </c>
      <c r="G4378" s="610" t="s">
        <v>379</v>
      </c>
      <c r="H4378" s="611" t="s">
        <v>626</v>
      </c>
    </row>
    <row r="4379" spans="1:8" ht="31.5">
      <c r="A4379" s="608" t="s">
        <v>661</v>
      </c>
      <c r="B4379" s="613" t="s">
        <v>662</v>
      </c>
      <c r="C4379" s="610" t="s">
        <v>379</v>
      </c>
      <c r="D4379" s="610" t="s">
        <v>379</v>
      </c>
      <c r="E4379" s="610" t="s">
        <v>379</v>
      </c>
      <c r="F4379" s="610" t="s">
        <v>379</v>
      </c>
      <c r="G4379" s="610" t="s">
        <v>379</v>
      </c>
      <c r="H4379" s="611" t="s">
        <v>626</v>
      </c>
    </row>
    <row r="4380" spans="1:8" ht="31.5">
      <c r="A4380" s="615" t="s">
        <v>663</v>
      </c>
      <c r="B4380" s="616" t="s">
        <v>664</v>
      </c>
      <c r="C4380" s="617" t="s">
        <v>379</v>
      </c>
      <c r="D4380" s="617" t="s">
        <v>379</v>
      </c>
      <c r="E4380" s="617" t="s">
        <v>379</v>
      </c>
      <c r="F4380" s="617" t="s">
        <v>379</v>
      </c>
      <c r="G4380" s="617" t="s">
        <v>379</v>
      </c>
      <c r="H4380" s="618" t="s">
        <v>626</v>
      </c>
    </row>
    <row r="4381" spans="1:8" ht="15.75">
      <c r="A4381" s="619"/>
      <c r="B4381" s="620"/>
      <c r="C4381" s="621"/>
      <c r="D4381" s="621"/>
      <c r="E4381" s="621"/>
      <c r="F4381" s="621"/>
      <c r="G4381" s="621"/>
      <c r="H4381" s="148"/>
    </row>
    <row r="4382" spans="1:8" ht="12.75" customHeight="1">
      <c r="A4382" s="707" t="s">
        <v>665</v>
      </c>
      <c r="B4382" s="707"/>
      <c r="C4382" s="707"/>
      <c r="D4382" s="707"/>
      <c r="E4382" s="707"/>
      <c r="F4382" s="707"/>
      <c r="G4382" s="707"/>
      <c r="H4382" s="707"/>
    </row>
    <row r="4385" ht="15.75">
      <c r="H4385" s="11" t="s">
        <v>609</v>
      </c>
    </row>
    <row r="4386" ht="15.75">
      <c r="H4386" s="11" t="s">
        <v>610</v>
      </c>
    </row>
    <row r="4387" ht="15.75">
      <c r="H4387" s="11" t="s">
        <v>611</v>
      </c>
    </row>
    <row r="4388" ht="15.75">
      <c r="H4388" s="11"/>
    </row>
    <row r="4389" spans="1:8" ht="12.75" customHeight="1">
      <c r="A4389" s="713" t="s">
        <v>612</v>
      </c>
      <c r="B4389" s="713"/>
      <c r="C4389" s="713"/>
      <c r="D4389" s="713"/>
      <c r="E4389" s="713"/>
      <c r="F4389" s="713"/>
      <c r="G4389" s="713"/>
      <c r="H4389" s="713"/>
    </row>
    <row r="4390" spans="1:8" ht="12.75" customHeight="1">
      <c r="A4390" s="713" t="s">
        <v>613</v>
      </c>
      <c r="B4390" s="713"/>
      <c r="C4390" s="713"/>
      <c r="D4390" s="713"/>
      <c r="E4390" s="713"/>
      <c r="F4390" s="713"/>
      <c r="G4390" s="713"/>
      <c r="H4390" s="713"/>
    </row>
    <row r="4391" ht="15.75">
      <c r="H4391" s="11" t="s">
        <v>43</v>
      </c>
    </row>
    <row r="4392" ht="15.75">
      <c r="H4392" s="11" t="s">
        <v>44</v>
      </c>
    </row>
    <row r="4393" ht="15.75">
      <c r="H4393" s="11" t="s">
        <v>45</v>
      </c>
    </row>
    <row r="4394" ht="15.75">
      <c r="H4394" s="594" t="s">
        <v>614</v>
      </c>
    </row>
    <row r="4395" ht="15.75">
      <c r="H4395" s="11" t="s">
        <v>615</v>
      </c>
    </row>
    <row r="4396" ht="15.75">
      <c r="H4396" s="11" t="s">
        <v>47</v>
      </c>
    </row>
    <row r="4397" ht="15.75">
      <c r="A4397" s="595"/>
    </row>
    <row r="4398" ht="15.75">
      <c r="A4398" s="3" t="s">
        <v>858</v>
      </c>
    </row>
    <row r="4399" spans="1:8" ht="12.75" customHeight="1">
      <c r="A4399" s="717" t="s">
        <v>0</v>
      </c>
      <c r="B4399" s="714"/>
      <c r="C4399" s="714"/>
      <c r="D4399" s="714"/>
      <c r="E4399" s="714"/>
      <c r="F4399" s="714"/>
      <c r="G4399" s="714"/>
      <c r="H4399" s="714"/>
    </row>
    <row r="4400" spans="1:8" ht="16.5" thickBot="1">
      <c r="A4400" s="597"/>
      <c r="B4400" s="597"/>
      <c r="C4400" s="598"/>
      <c r="D4400" s="598"/>
      <c r="E4400" s="598"/>
      <c r="F4400" s="598"/>
      <c r="G4400" s="598"/>
      <c r="H4400" s="598"/>
    </row>
    <row r="4401" spans="1:8" ht="12.75" customHeight="1">
      <c r="A4401" s="708" t="s">
        <v>617</v>
      </c>
      <c r="B4401" s="710" t="s">
        <v>618</v>
      </c>
      <c r="C4401" s="711" t="s">
        <v>619</v>
      </c>
      <c r="D4401" s="711"/>
      <c r="E4401" s="711"/>
      <c r="F4401" s="711"/>
      <c r="G4401" s="712" t="s">
        <v>620</v>
      </c>
      <c r="H4401" s="708" t="s">
        <v>621</v>
      </c>
    </row>
    <row r="4402" spans="1:8" ht="15.75">
      <c r="A4402" s="708"/>
      <c r="B4402" s="710"/>
      <c r="C4402" s="711"/>
      <c r="D4402" s="711"/>
      <c r="E4402" s="711"/>
      <c r="F4402" s="711"/>
      <c r="G4402" s="712"/>
      <c r="H4402" s="708"/>
    </row>
    <row r="4403" spans="1:8" ht="31.5">
      <c r="A4403" s="708"/>
      <c r="B4403" s="710"/>
      <c r="C4403" s="601" t="s">
        <v>622</v>
      </c>
      <c r="D4403" s="601" t="s">
        <v>623</v>
      </c>
      <c r="E4403" s="602" t="s">
        <v>622</v>
      </c>
      <c r="F4403" s="603" t="s">
        <v>623</v>
      </c>
      <c r="G4403" s="712"/>
      <c r="H4403" s="708"/>
    </row>
    <row r="4404" spans="1:8" ht="15.75">
      <c r="A4404" s="599">
        <v>1</v>
      </c>
      <c r="B4404" s="599">
        <v>2</v>
      </c>
      <c r="C4404" s="604">
        <v>3</v>
      </c>
      <c r="D4404" s="604">
        <v>4</v>
      </c>
      <c r="E4404" s="605"/>
      <c r="F4404" s="606"/>
      <c r="G4404" s="600">
        <v>5</v>
      </c>
      <c r="H4404" s="599">
        <v>6</v>
      </c>
    </row>
    <row r="4405" spans="1:8" ht="12.75" customHeight="1">
      <c r="A4405" s="607">
        <v>1</v>
      </c>
      <c r="B4405" s="709" t="s">
        <v>624</v>
      </c>
      <c r="C4405" s="709"/>
      <c r="D4405" s="709"/>
      <c r="E4405" s="709"/>
      <c r="F4405" s="709"/>
      <c r="G4405" s="709"/>
      <c r="H4405" s="709"/>
    </row>
    <row r="4406" spans="1:8" ht="15.75">
      <c r="A4406" s="608" t="s">
        <v>74</v>
      </c>
      <c r="B4406" s="609" t="s">
        <v>625</v>
      </c>
      <c r="C4406" s="610" t="s">
        <v>379</v>
      </c>
      <c r="D4406" s="610" t="s">
        <v>379</v>
      </c>
      <c r="E4406" s="610" t="s">
        <v>379</v>
      </c>
      <c r="F4406" s="610" t="s">
        <v>379</v>
      </c>
      <c r="G4406" s="610" t="s">
        <v>379</v>
      </c>
      <c r="H4406" s="611" t="s">
        <v>626</v>
      </c>
    </row>
    <row r="4407" spans="1:8" ht="15.75">
      <c r="A4407" s="608" t="s">
        <v>313</v>
      </c>
      <c r="B4407" s="609" t="s">
        <v>627</v>
      </c>
      <c r="C4407" s="610" t="s">
        <v>379</v>
      </c>
      <c r="D4407" s="610" t="s">
        <v>379</v>
      </c>
      <c r="E4407" s="610" t="s">
        <v>379</v>
      </c>
      <c r="F4407" s="610" t="s">
        <v>379</v>
      </c>
      <c r="G4407" s="610" t="s">
        <v>379</v>
      </c>
      <c r="H4407" s="611" t="s">
        <v>626</v>
      </c>
    </row>
    <row r="4408" spans="1:8" ht="31.5">
      <c r="A4408" s="608" t="s">
        <v>315</v>
      </c>
      <c r="B4408" s="612" t="s">
        <v>628</v>
      </c>
      <c r="C4408" s="610" t="s">
        <v>379</v>
      </c>
      <c r="D4408" s="610" t="s">
        <v>379</v>
      </c>
      <c r="E4408" s="610" t="s">
        <v>379</v>
      </c>
      <c r="F4408" s="610" t="s">
        <v>379</v>
      </c>
      <c r="G4408" s="610" t="s">
        <v>379</v>
      </c>
      <c r="H4408" s="611" t="s">
        <v>626</v>
      </c>
    </row>
    <row r="4409" spans="1:8" ht="47.25">
      <c r="A4409" s="608" t="s">
        <v>317</v>
      </c>
      <c r="B4409" s="612" t="s">
        <v>629</v>
      </c>
      <c r="C4409" s="610" t="s">
        <v>379</v>
      </c>
      <c r="D4409" s="610" t="s">
        <v>379</v>
      </c>
      <c r="E4409" s="610" t="s">
        <v>379</v>
      </c>
      <c r="F4409" s="610" t="s">
        <v>379</v>
      </c>
      <c r="G4409" s="610" t="s">
        <v>379</v>
      </c>
      <c r="H4409" s="611" t="s">
        <v>626</v>
      </c>
    </row>
    <row r="4410" spans="1:8" ht="15.75">
      <c r="A4410" s="608" t="s">
        <v>630</v>
      </c>
      <c r="B4410" s="613" t="s">
        <v>631</v>
      </c>
      <c r="C4410" s="610" t="s">
        <v>379</v>
      </c>
      <c r="D4410" s="610" t="s">
        <v>379</v>
      </c>
      <c r="E4410" s="610" t="s">
        <v>379</v>
      </c>
      <c r="F4410" s="610" t="s">
        <v>379</v>
      </c>
      <c r="G4410" s="610" t="s">
        <v>379</v>
      </c>
      <c r="H4410" s="611" t="s">
        <v>626</v>
      </c>
    </row>
    <row r="4411" spans="1:8" ht="15.75">
      <c r="A4411" s="608" t="s">
        <v>632</v>
      </c>
      <c r="B4411" s="613" t="s">
        <v>633</v>
      </c>
      <c r="C4411" s="610" t="s">
        <v>379</v>
      </c>
      <c r="D4411" s="610" t="s">
        <v>379</v>
      </c>
      <c r="E4411" s="610" t="s">
        <v>379</v>
      </c>
      <c r="F4411" s="610" t="s">
        <v>379</v>
      </c>
      <c r="G4411" s="610" t="s">
        <v>379</v>
      </c>
      <c r="H4411" s="611" t="s">
        <v>626</v>
      </c>
    </row>
    <row r="4412" spans="1:8" ht="12.75" customHeight="1">
      <c r="A4412" s="608">
        <v>2</v>
      </c>
      <c r="B4412" s="706" t="s">
        <v>634</v>
      </c>
      <c r="C4412" s="706"/>
      <c r="D4412" s="706"/>
      <c r="E4412" s="706"/>
      <c r="F4412" s="706"/>
      <c r="G4412" s="706"/>
      <c r="H4412" s="706"/>
    </row>
    <row r="4413" spans="1:8" ht="31.5">
      <c r="A4413" s="608" t="s">
        <v>321</v>
      </c>
      <c r="B4413" s="612" t="s">
        <v>635</v>
      </c>
      <c r="C4413" s="610" t="s">
        <v>832</v>
      </c>
      <c r="D4413" s="610" t="s">
        <v>764</v>
      </c>
      <c r="E4413" s="610" t="s">
        <v>379</v>
      </c>
      <c r="F4413" s="610" t="s">
        <v>379</v>
      </c>
      <c r="G4413" s="614">
        <v>0</v>
      </c>
      <c r="H4413" s="611"/>
    </row>
    <row r="4414" spans="1:8" ht="47.25">
      <c r="A4414" s="608" t="s">
        <v>325</v>
      </c>
      <c r="B4414" s="612" t="s">
        <v>638</v>
      </c>
      <c r="C4414" s="610" t="s">
        <v>379</v>
      </c>
      <c r="D4414" s="610" t="s">
        <v>379</v>
      </c>
      <c r="E4414" s="610" t="s">
        <v>379</v>
      </c>
      <c r="F4414" s="610" t="s">
        <v>379</v>
      </c>
      <c r="G4414" s="610" t="s">
        <v>379</v>
      </c>
      <c r="H4414" s="611" t="s">
        <v>626</v>
      </c>
    </row>
    <row r="4415" spans="1:8" ht="31.5">
      <c r="A4415" s="608" t="s">
        <v>639</v>
      </c>
      <c r="B4415" s="612" t="s">
        <v>640</v>
      </c>
      <c r="C4415" s="610" t="s">
        <v>379</v>
      </c>
      <c r="D4415" s="610" t="s">
        <v>379</v>
      </c>
      <c r="E4415" s="610" t="s">
        <v>379</v>
      </c>
      <c r="F4415" s="610" t="s">
        <v>379</v>
      </c>
      <c r="G4415" s="610" t="s">
        <v>379</v>
      </c>
      <c r="H4415" s="611" t="s">
        <v>626</v>
      </c>
    </row>
    <row r="4416" spans="1:8" ht="12.75" customHeight="1">
      <c r="A4416" s="608">
        <v>3</v>
      </c>
      <c r="B4416" s="706" t="s">
        <v>641</v>
      </c>
      <c r="C4416" s="706"/>
      <c r="D4416" s="706"/>
      <c r="E4416" s="706"/>
      <c r="F4416" s="706"/>
      <c r="G4416" s="706"/>
      <c r="H4416" s="706"/>
    </row>
    <row r="4417" spans="1:8" ht="31.5">
      <c r="A4417" s="608" t="s">
        <v>378</v>
      </c>
      <c r="B4417" s="613" t="s">
        <v>642</v>
      </c>
      <c r="C4417" s="610" t="s">
        <v>379</v>
      </c>
      <c r="D4417" s="610" t="s">
        <v>379</v>
      </c>
      <c r="E4417" s="610" t="s">
        <v>379</v>
      </c>
      <c r="F4417" s="610" t="s">
        <v>379</v>
      </c>
      <c r="G4417" s="610" t="s">
        <v>379</v>
      </c>
      <c r="H4417" s="611" t="s">
        <v>626</v>
      </c>
    </row>
    <row r="4418" spans="1:8" ht="15.75">
      <c r="A4418" s="608" t="s">
        <v>643</v>
      </c>
      <c r="B4418" s="613" t="s">
        <v>644</v>
      </c>
      <c r="C4418" s="610" t="s">
        <v>832</v>
      </c>
      <c r="D4418" s="610" t="s">
        <v>794</v>
      </c>
      <c r="E4418" s="610" t="s">
        <v>379</v>
      </c>
      <c r="F4418" s="610" t="s">
        <v>379</v>
      </c>
      <c r="G4418" s="614">
        <v>0</v>
      </c>
      <c r="H4418" s="611"/>
    </row>
    <row r="4419" spans="1:8" ht="15.75">
      <c r="A4419" s="608" t="s">
        <v>380</v>
      </c>
      <c r="B4419" s="613" t="s">
        <v>646</v>
      </c>
      <c r="C4419" s="610" t="s">
        <v>794</v>
      </c>
      <c r="D4419" s="610" t="s">
        <v>836</v>
      </c>
      <c r="E4419" s="610" t="s">
        <v>379</v>
      </c>
      <c r="F4419" s="610" t="s">
        <v>379</v>
      </c>
      <c r="G4419" s="614">
        <v>0</v>
      </c>
      <c r="H4419" s="611"/>
    </row>
    <row r="4420" spans="1:8" ht="15.75">
      <c r="A4420" s="608" t="s">
        <v>649</v>
      </c>
      <c r="B4420" s="613" t="s">
        <v>650</v>
      </c>
      <c r="C4420" s="610" t="s">
        <v>836</v>
      </c>
      <c r="D4420" s="610" t="s">
        <v>834</v>
      </c>
      <c r="E4420" s="610" t="s">
        <v>379</v>
      </c>
      <c r="F4420" s="610" t="s">
        <v>379</v>
      </c>
      <c r="G4420" s="614">
        <v>0</v>
      </c>
      <c r="H4420" s="611"/>
    </row>
    <row r="4421" spans="1:8" ht="15.75">
      <c r="A4421" s="608" t="s">
        <v>653</v>
      </c>
      <c r="B4421" s="613" t="s">
        <v>654</v>
      </c>
      <c r="C4421" s="610" t="s">
        <v>834</v>
      </c>
      <c r="D4421" s="610" t="s">
        <v>764</v>
      </c>
      <c r="E4421" s="610" t="s">
        <v>379</v>
      </c>
      <c r="F4421" s="610" t="s">
        <v>379</v>
      </c>
      <c r="G4421" s="614">
        <v>0</v>
      </c>
      <c r="H4421" s="611"/>
    </row>
    <row r="4422" spans="1:8" ht="12.75" customHeight="1">
      <c r="A4422" s="608">
        <v>4</v>
      </c>
      <c r="B4422" s="706" t="s">
        <v>656</v>
      </c>
      <c r="C4422" s="706"/>
      <c r="D4422" s="706"/>
      <c r="E4422" s="706"/>
      <c r="F4422" s="706"/>
      <c r="G4422" s="706"/>
      <c r="H4422" s="706"/>
    </row>
    <row r="4423" spans="1:8" ht="31.5">
      <c r="A4423" s="608" t="s">
        <v>657</v>
      </c>
      <c r="B4423" s="612" t="s">
        <v>658</v>
      </c>
      <c r="C4423" s="610" t="s">
        <v>379</v>
      </c>
      <c r="D4423" s="610" t="s">
        <v>379</v>
      </c>
      <c r="E4423" s="610" t="s">
        <v>379</v>
      </c>
      <c r="F4423" s="610" t="s">
        <v>379</v>
      </c>
      <c r="G4423" s="610" t="s">
        <v>379</v>
      </c>
      <c r="H4423" s="611" t="s">
        <v>626</v>
      </c>
    </row>
    <row r="4424" spans="1:8" ht="47.25">
      <c r="A4424" s="608" t="s">
        <v>659</v>
      </c>
      <c r="B4424" s="612" t="s">
        <v>660</v>
      </c>
      <c r="C4424" s="610" t="s">
        <v>379</v>
      </c>
      <c r="D4424" s="610" t="s">
        <v>379</v>
      </c>
      <c r="E4424" s="610" t="s">
        <v>379</v>
      </c>
      <c r="F4424" s="610" t="s">
        <v>379</v>
      </c>
      <c r="G4424" s="610" t="s">
        <v>379</v>
      </c>
      <c r="H4424" s="611" t="s">
        <v>626</v>
      </c>
    </row>
    <row r="4425" spans="1:8" ht="31.5">
      <c r="A4425" s="608" t="s">
        <v>661</v>
      </c>
      <c r="B4425" s="613" t="s">
        <v>662</v>
      </c>
      <c r="C4425" s="610" t="s">
        <v>379</v>
      </c>
      <c r="D4425" s="610" t="s">
        <v>379</v>
      </c>
      <c r="E4425" s="610" t="s">
        <v>379</v>
      </c>
      <c r="F4425" s="610" t="s">
        <v>379</v>
      </c>
      <c r="G4425" s="610" t="s">
        <v>379</v>
      </c>
      <c r="H4425" s="611" t="s">
        <v>626</v>
      </c>
    </row>
    <row r="4426" spans="1:8" ht="31.5">
      <c r="A4426" s="615" t="s">
        <v>663</v>
      </c>
      <c r="B4426" s="616" t="s">
        <v>664</v>
      </c>
      <c r="C4426" s="617" t="s">
        <v>379</v>
      </c>
      <c r="D4426" s="617" t="s">
        <v>379</v>
      </c>
      <c r="E4426" s="617" t="s">
        <v>379</v>
      </c>
      <c r="F4426" s="617" t="s">
        <v>379</v>
      </c>
      <c r="G4426" s="617" t="s">
        <v>379</v>
      </c>
      <c r="H4426" s="618" t="s">
        <v>626</v>
      </c>
    </row>
    <row r="4427" spans="1:8" ht="15.75">
      <c r="A4427" s="619"/>
      <c r="B4427" s="620"/>
      <c r="C4427" s="621"/>
      <c r="D4427" s="621"/>
      <c r="E4427" s="621"/>
      <c r="F4427" s="621"/>
      <c r="G4427" s="621"/>
      <c r="H4427" s="148"/>
    </row>
    <row r="4428" spans="1:8" ht="12.75" customHeight="1">
      <c r="A4428" s="707" t="s">
        <v>665</v>
      </c>
      <c r="B4428" s="707"/>
      <c r="C4428" s="707"/>
      <c r="D4428" s="707"/>
      <c r="E4428" s="707"/>
      <c r="F4428" s="707"/>
      <c r="G4428" s="707"/>
      <c r="H4428" s="707"/>
    </row>
    <row r="4431" ht="15.75">
      <c r="H4431" s="11" t="s">
        <v>609</v>
      </c>
    </row>
    <row r="4432" ht="15.75">
      <c r="H4432" s="11" t="s">
        <v>610</v>
      </c>
    </row>
    <row r="4433" ht="15.75">
      <c r="H4433" s="11" t="s">
        <v>611</v>
      </c>
    </row>
    <row r="4434" ht="15.75">
      <c r="H4434" s="11"/>
    </row>
    <row r="4435" spans="1:8" ht="12.75" customHeight="1">
      <c r="A4435" s="713" t="s">
        <v>612</v>
      </c>
      <c r="B4435" s="713"/>
      <c r="C4435" s="713"/>
      <c r="D4435" s="713"/>
      <c r="E4435" s="713"/>
      <c r="F4435" s="713"/>
      <c r="G4435" s="713"/>
      <c r="H4435" s="713"/>
    </row>
    <row r="4436" spans="1:8" ht="12.75" customHeight="1">
      <c r="A4436" s="713" t="s">
        <v>613</v>
      </c>
      <c r="B4436" s="713"/>
      <c r="C4436" s="713"/>
      <c r="D4436" s="713"/>
      <c r="E4436" s="713"/>
      <c r="F4436" s="713"/>
      <c r="G4436" s="713"/>
      <c r="H4436" s="713"/>
    </row>
    <row r="4437" ht="15.75">
      <c r="H4437" s="11" t="s">
        <v>43</v>
      </c>
    </row>
    <row r="4438" ht="15.75">
      <c r="H4438" s="11" t="s">
        <v>44</v>
      </c>
    </row>
    <row r="4439" ht="15.75">
      <c r="H4439" s="11" t="s">
        <v>45</v>
      </c>
    </row>
    <row r="4440" ht="15.75">
      <c r="H4440" s="594" t="s">
        <v>614</v>
      </c>
    </row>
    <row r="4441" ht="15.75">
      <c r="H4441" s="11" t="s">
        <v>615</v>
      </c>
    </row>
    <row r="4442" ht="15.75">
      <c r="H4442" s="11" t="s">
        <v>47</v>
      </c>
    </row>
    <row r="4443" ht="15.75">
      <c r="A4443" s="595"/>
    </row>
    <row r="4444" ht="15.75">
      <c r="A4444" s="3" t="s">
        <v>859</v>
      </c>
    </row>
    <row r="4445" spans="1:8" ht="12.75" customHeight="1">
      <c r="A4445" s="717" t="s">
        <v>0</v>
      </c>
      <c r="B4445" s="714"/>
      <c r="C4445" s="714"/>
      <c r="D4445" s="714"/>
      <c r="E4445" s="714"/>
      <c r="F4445" s="714"/>
      <c r="G4445" s="714"/>
      <c r="H4445" s="714"/>
    </row>
    <row r="4446" spans="1:8" ht="16.5" thickBot="1">
      <c r="A4446" s="597"/>
      <c r="B4446" s="597"/>
      <c r="C4446" s="598"/>
      <c r="D4446" s="598"/>
      <c r="E4446" s="598"/>
      <c r="F4446" s="598"/>
      <c r="G4446" s="598"/>
      <c r="H4446" s="598"/>
    </row>
    <row r="4447" spans="1:8" ht="12.75" customHeight="1">
      <c r="A4447" s="708" t="s">
        <v>617</v>
      </c>
      <c r="B4447" s="710" t="s">
        <v>618</v>
      </c>
      <c r="C4447" s="711" t="s">
        <v>619</v>
      </c>
      <c r="D4447" s="711"/>
      <c r="E4447" s="711"/>
      <c r="F4447" s="711"/>
      <c r="G4447" s="712" t="s">
        <v>620</v>
      </c>
      <c r="H4447" s="708" t="s">
        <v>621</v>
      </c>
    </row>
    <row r="4448" spans="1:8" ht="15.75">
      <c r="A4448" s="708"/>
      <c r="B4448" s="710"/>
      <c r="C4448" s="711"/>
      <c r="D4448" s="711"/>
      <c r="E4448" s="711"/>
      <c r="F4448" s="711"/>
      <c r="G4448" s="712"/>
      <c r="H4448" s="708"/>
    </row>
    <row r="4449" spans="1:8" ht="31.5">
      <c r="A4449" s="708"/>
      <c r="B4449" s="710"/>
      <c r="C4449" s="601" t="s">
        <v>622</v>
      </c>
      <c r="D4449" s="601" t="s">
        <v>623</v>
      </c>
      <c r="E4449" s="602" t="s">
        <v>622</v>
      </c>
      <c r="F4449" s="603" t="s">
        <v>623</v>
      </c>
      <c r="G4449" s="712"/>
      <c r="H4449" s="708"/>
    </row>
    <row r="4450" spans="1:8" ht="15.75">
      <c r="A4450" s="599">
        <v>1</v>
      </c>
      <c r="B4450" s="599">
        <v>2</v>
      </c>
      <c r="C4450" s="604">
        <v>3</v>
      </c>
      <c r="D4450" s="604">
        <v>4</v>
      </c>
      <c r="E4450" s="605"/>
      <c r="F4450" s="606"/>
      <c r="G4450" s="600">
        <v>5</v>
      </c>
      <c r="H4450" s="599">
        <v>6</v>
      </c>
    </row>
    <row r="4451" spans="1:8" ht="12.75" customHeight="1">
      <c r="A4451" s="607">
        <v>1</v>
      </c>
      <c r="B4451" s="709" t="s">
        <v>624</v>
      </c>
      <c r="C4451" s="709"/>
      <c r="D4451" s="709"/>
      <c r="E4451" s="709"/>
      <c r="F4451" s="709"/>
      <c r="G4451" s="709"/>
      <c r="H4451" s="709"/>
    </row>
    <row r="4452" spans="1:8" ht="15.75">
      <c r="A4452" s="608" t="s">
        <v>74</v>
      </c>
      <c r="B4452" s="609" t="s">
        <v>625</v>
      </c>
      <c r="C4452" s="610" t="s">
        <v>379</v>
      </c>
      <c r="D4452" s="610" t="s">
        <v>379</v>
      </c>
      <c r="E4452" s="610" t="s">
        <v>379</v>
      </c>
      <c r="F4452" s="610" t="s">
        <v>379</v>
      </c>
      <c r="G4452" s="610" t="s">
        <v>379</v>
      </c>
      <c r="H4452" s="611" t="s">
        <v>626</v>
      </c>
    </row>
    <row r="4453" spans="1:8" ht="15.75">
      <c r="A4453" s="608" t="s">
        <v>313</v>
      </c>
      <c r="B4453" s="609" t="s">
        <v>627</v>
      </c>
      <c r="C4453" s="610" t="s">
        <v>379</v>
      </c>
      <c r="D4453" s="610" t="s">
        <v>379</v>
      </c>
      <c r="E4453" s="610" t="s">
        <v>379</v>
      </c>
      <c r="F4453" s="610" t="s">
        <v>379</v>
      </c>
      <c r="G4453" s="610" t="s">
        <v>379</v>
      </c>
      <c r="H4453" s="611" t="s">
        <v>626</v>
      </c>
    </row>
    <row r="4454" spans="1:8" ht="31.5">
      <c r="A4454" s="608" t="s">
        <v>315</v>
      </c>
      <c r="B4454" s="612" t="s">
        <v>628</v>
      </c>
      <c r="C4454" s="610" t="s">
        <v>379</v>
      </c>
      <c r="D4454" s="610" t="s">
        <v>379</v>
      </c>
      <c r="E4454" s="610" t="s">
        <v>379</v>
      </c>
      <c r="F4454" s="610" t="s">
        <v>379</v>
      </c>
      <c r="G4454" s="610" t="s">
        <v>379</v>
      </c>
      <c r="H4454" s="611" t="s">
        <v>626</v>
      </c>
    </row>
    <row r="4455" spans="1:8" ht="47.25">
      <c r="A4455" s="608" t="s">
        <v>317</v>
      </c>
      <c r="B4455" s="612" t="s">
        <v>629</v>
      </c>
      <c r="C4455" s="610" t="s">
        <v>379</v>
      </c>
      <c r="D4455" s="610" t="s">
        <v>379</v>
      </c>
      <c r="E4455" s="610" t="s">
        <v>379</v>
      </c>
      <c r="F4455" s="610" t="s">
        <v>379</v>
      </c>
      <c r="G4455" s="610" t="s">
        <v>379</v>
      </c>
      <c r="H4455" s="611" t="s">
        <v>626</v>
      </c>
    </row>
    <row r="4456" spans="1:8" ht="15.75">
      <c r="A4456" s="608" t="s">
        <v>630</v>
      </c>
      <c r="B4456" s="613" t="s">
        <v>631</v>
      </c>
      <c r="C4456" s="610" t="s">
        <v>379</v>
      </c>
      <c r="D4456" s="610" t="s">
        <v>379</v>
      </c>
      <c r="E4456" s="610" t="s">
        <v>379</v>
      </c>
      <c r="F4456" s="610" t="s">
        <v>379</v>
      </c>
      <c r="G4456" s="610" t="s">
        <v>379</v>
      </c>
      <c r="H4456" s="611" t="s">
        <v>626</v>
      </c>
    </row>
    <row r="4457" spans="1:8" ht="15.75">
      <c r="A4457" s="608" t="s">
        <v>632</v>
      </c>
      <c r="B4457" s="613" t="s">
        <v>633</v>
      </c>
      <c r="C4457" s="610" t="s">
        <v>379</v>
      </c>
      <c r="D4457" s="610" t="s">
        <v>379</v>
      </c>
      <c r="E4457" s="610" t="s">
        <v>379</v>
      </c>
      <c r="F4457" s="610" t="s">
        <v>379</v>
      </c>
      <c r="G4457" s="610" t="s">
        <v>379</v>
      </c>
      <c r="H4457" s="611" t="s">
        <v>626</v>
      </c>
    </row>
    <row r="4458" spans="1:8" ht="12.75" customHeight="1">
      <c r="A4458" s="608">
        <v>2</v>
      </c>
      <c r="B4458" s="706" t="s">
        <v>634</v>
      </c>
      <c r="C4458" s="706"/>
      <c r="D4458" s="706"/>
      <c r="E4458" s="706"/>
      <c r="F4458" s="706"/>
      <c r="G4458" s="706"/>
      <c r="H4458" s="706"/>
    </row>
    <row r="4459" spans="1:8" ht="31.5">
      <c r="A4459" s="608" t="s">
        <v>321</v>
      </c>
      <c r="B4459" s="612" t="s">
        <v>635</v>
      </c>
      <c r="C4459" s="610" t="s">
        <v>832</v>
      </c>
      <c r="D4459" s="610" t="s">
        <v>764</v>
      </c>
      <c r="E4459" s="610" t="s">
        <v>379</v>
      </c>
      <c r="F4459" s="610" t="s">
        <v>379</v>
      </c>
      <c r="G4459" s="614">
        <v>0</v>
      </c>
      <c r="H4459" s="611"/>
    </row>
    <row r="4460" spans="1:8" ht="47.25">
      <c r="A4460" s="608" t="s">
        <v>325</v>
      </c>
      <c r="B4460" s="612" t="s">
        <v>638</v>
      </c>
      <c r="C4460" s="610" t="s">
        <v>379</v>
      </c>
      <c r="D4460" s="610" t="s">
        <v>379</v>
      </c>
      <c r="E4460" s="610" t="s">
        <v>379</v>
      </c>
      <c r="F4460" s="610" t="s">
        <v>379</v>
      </c>
      <c r="G4460" s="610" t="s">
        <v>379</v>
      </c>
      <c r="H4460" s="611" t="s">
        <v>626</v>
      </c>
    </row>
    <row r="4461" spans="1:8" ht="31.5">
      <c r="A4461" s="608" t="s">
        <v>639</v>
      </c>
      <c r="B4461" s="612" t="s">
        <v>640</v>
      </c>
      <c r="C4461" s="610" t="s">
        <v>379</v>
      </c>
      <c r="D4461" s="610" t="s">
        <v>379</v>
      </c>
      <c r="E4461" s="610" t="s">
        <v>379</v>
      </c>
      <c r="F4461" s="610" t="s">
        <v>379</v>
      </c>
      <c r="G4461" s="610" t="s">
        <v>379</v>
      </c>
      <c r="H4461" s="611" t="s">
        <v>626</v>
      </c>
    </row>
    <row r="4462" spans="1:8" ht="12.75" customHeight="1">
      <c r="A4462" s="608">
        <v>3</v>
      </c>
      <c r="B4462" s="706" t="s">
        <v>641</v>
      </c>
      <c r="C4462" s="706"/>
      <c r="D4462" s="706"/>
      <c r="E4462" s="706"/>
      <c r="F4462" s="706"/>
      <c r="G4462" s="706"/>
      <c r="H4462" s="706"/>
    </row>
    <row r="4463" spans="1:8" ht="31.5">
      <c r="A4463" s="608" t="s">
        <v>378</v>
      </c>
      <c r="B4463" s="613" t="s">
        <v>642</v>
      </c>
      <c r="C4463" s="610" t="s">
        <v>379</v>
      </c>
      <c r="D4463" s="610" t="s">
        <v>379</v>
      </c>
      <c r="E4463" s="610" t="s">
        <v>379</v>
      </c>
      <c r="F4463" s="610" t="s">
        <v>379</v>
      </c>
      <c r="G4463" s="610" t="s">
        <v>379</v>
      </c>
      <c r="H4463" s="611" t="s">
        <v>626</v>
      </c>
    </row>
    <row r="4464" spans="1:8" ht="15.75">
      <c r="A4464" s="608" t="s">
        <v>643</v>
      </c>
      <c r="B4464" s="613" t="s">
        <v>644</v>
      </c>
      <c r="C4464" s="610" t="s">
        <v>832</v>
      </c>
      <c r="D4464" s="610" t="s">
        <v>794</v>
      </c>
      <c r="E4464" s="610" t="s">
        <v>379</v>
      </c>
      <c r="F4464" s="610" t="s">
        <v>379</v>
      </c>
      <c r="G4464" s="614">
        <v>0</v>
      </c>
      <c r="H4464" s="611"/>
    </row>
    <row r="4465" spans="1:8" ht="15.75">
      <c r="A4465" s="608" t="s">
        <v>380</v>
      </c>
      <c r="B4465" s="613" t="s">
        <v>646</v>
      </c>
      <c r="C4465" s="610" t="s">
        <v>794</v>
      </c>
      <c r="D4465" s="610" t="s">
        <v>836</v>
      </c>
      <c r="E4465" s="610" t="s">
        <v>379</v>
      </c>
      <c r="F4465" s="610" t="s">
        <v>379</v>
      </c>
      <c r="G4465" s="614">
        <v>0</v>
      </c>
      <c r="H4465" s="611"/>
    </row>
    <row r="4466" spans="1:8" ht="15.75">
      <c r="A4466" s="608" t="s">
        <v>649</v>
      </c>
      <c r="B4466" s="613" t="s">
        <v>650</v>
      </c>
      <c r="C4466" s="610" t="s">
        <v>836</v>
      </c>
      <c r="D4466" s="610" t="s">
        <v>834</v>
      </c>
      <c r="E4466" s="610" t="s">
        <v>379</v>
      </c>
      <c r="F4466" s="610" t="s">
        <v>379</v>
      </c>
      <c r="G4466" s="614">
        <v>0</v>
      </c>
      <c r="H4466" s="611"/>
    </row>
    <row r="4467" spans="1:8" ht="15.75">
      <c r="A4467" s="608" t="s">
        <v>653</v>
      </c>
      <c r="B4467" s="613" t="s">
        <v>654</v>
      </c>
      <c r="C4467" s="610" t="s">
        <v>834</v>
      </c>
      <c r="D4467" s="610" t="s">
        <v>764</v>
      </c>
      <c r="E4467" s="610" t="s">
        <v>379</v>
      </c>
      <c r="F4467" s="610" t="s">
        <v>379</v>
      </c>
      <c r="G4467" s="614">
        <v>0</v>
      </c>
      <c r="H4467" s="611"/>
    </row>
    <row r="4468" spans="1:8" ht="12.75" customHeight="1">
      <c r="A4468" s="608">
        <v>4</v>
      </c>
      <c r="B4468" s="706" t="s">
        <v>656</v>
      </c>
      <c r="C4468" s="706"/>
      <c r="D4468" s="706"/>
      <c r="E4468" s="706"/>
      <c r="F4468" s="706"/>
      <c r="G4468" s="706"/>
      <c r="H4468" s="706"/>
    </row>
    <row r="4469" spans="1:8" ht="31.5">
      <c r="A4469" s="608" t="s">
        <v>657</v>
      </c>
      <c r="B4469" s="612" t="s">
        <v>658</v>
      </c>
      <c r="C4469" s="610" t="s">
        <v>379</v>
      </c>
      <c r="D4469" s="610" t="s">
        <v>379</v>
      </c>
      <c r="E4469" s="610" t="s">
        <v>379</v>
      </c>
      <c r="F4469" s="610" t="s">
        <v>379</v>
      </c>
      <c r="G4469" s="610" t="s">
        <v>379</v>
      </c>
      <c r="H4469" s="611" t="s">
        <v>626</v>
      </c>
    </row>
    <row r="4470" spans="1:8" ht="47.25">
      <c r="A4470" s="608" t="s">
        <v>659</v>
      </c>
      <c r="B4470" s="612" t="s">
        <v>660</v>
      </c>
      <c r="C4470" s="610" t="s">
        <v>379</v>
      </c>
      <c r="D4470" s="610" t="s">
        <v>379</v>
      </c>
      <c r="E4470" s="610" t="s">
        <v>379</v>
      </c>
      <c r="F4470" s="610" t="s">
        <v>379</v>
      </c>
      <c r="G4470" s="610" t="s">
        <v>379</v>
      </c>
      <c r="H4470" s="611" t="s">
        <v>626</v>
      </c>
    </row>
    <row r="4471" spans="1:8" ht="31.5">
      <c r="A4471" s="608" t="s">
        <v>661</v>
      </c>
      <c r="B4471" s="613" t="s">
        <v>662</v>
      </c>
      <c r="C4471" s="610" t="s">
        <v>379</v>
      </c>
      <c r="D4471" s="610" t="s">
        <v>379</v>
      </c>
      <c r="E4471" s="610" t="s">
        <v>379</v>
      </c>
      <c r="F4471" s="610" t="s">
        <v>379</v>
      </c>
      <c r="G4471" s="610" t="s">
        <v>379</v>
      </c>
      <c r="H4471" s="611" t="s">
        <v>626</v>
      </c>
    </row>
    <row r="4472" spans="1:8" ht="31.5">
      <c r="A4472" s="615" t="s">
        <v>663</v>
      </c>
      <c r="B4472" s="616" t="s">
        <v>664</v>
      </c>
      <c r="C4472" s="617" t="s">
        <v>379</v>
      </c>
      <c r="D4472" s="617" t="s">
        <v>379</v>
      </c>
      <c r="E4472" s="617" t="s">
        <v>379</v>
      </c>
      <c r="F4472" s="617" t="s">
        <v>379</v>
      </c>
      <c r="G4472" s="617" t="s">
        <v>379</v>
      </c>
      <c r="H4472" s="618" t="s">
        <v>626</v>
      </c>
    </row>
    <row r="4473" spans="1:8" ht="15.75">
      <c r="A4473" s="619"/>
      <c r="B4473" s="620"/>
      <c r="C4473" s="621"/>
      <c r="D4473" s="621"/>
      <c r="E4473" s="621"/>
      <c r="F4473" s="621"/>
      <c r="G4473" s="621"/>
      <c r="H4473" s="148"/>
    </row>
    <row r="4474" spans="1:8" ht="12.75" customHeight="1">
      <c r="A4474" s="707" t="s">
        <v>665</v>
      </c>
      <c r="B4474" s="707"/>
      <c r="C4474" s="707"/>
      <c r="D4474" s="707"/>
      <c r="E4474" s="707"/>
      <c r="F4474" s="707"/>
      <c r="G4474" s="707"/>
      <c r="H4474" s="707"/>
    </row>
    <row r="4477" ht="15.75">
      <c r="H4477" s="11" t="s">
        <v>609</v>
      </c>
    </row>
    <row r="4478" ht="15.75">
      <c r="H4478" s="11" t="s">
        <v>610</v>
      </c>
    </row>
    <row r="4479" ht="15.75">
      <c r="H4479" s="11" t="s">
        <v>611</v>
      </c>
    </row>
    <row r="4480" ht="15.75">
      <c r="H4480" s="11"/>
    </row>
    <row r="4481" spans="1:8" ht="12.75" customHeight="1">
      <c r="A4481" s="713" t="s">
        <v>612</v>
      </c>
      <c r="B4481" s="713"/>
      <c r="C4481" s="713"/>
      <c r="D4481" s="713"/>
      <c r="E4481" s="713"/>
      <c r="F4481" s="713"/>
      <c r="G4481" s="713"/>
      <c r="H4481" s="713"/>
    </row>
    <row r="4482" spans="1:8" ht="12.75" customHeight="1">
      <c r="A4482" s="713" t="s">
        <v>613</v>
      </c>
      <c r="B4482" s="713"/>
      <c r="C4482" s="713"/>
      <c r="D4482" s="713"/>
      <c r="E4482" s="713"/>
      <c r="F4482" s="713"/>
      <c r="G4482" s="713"/>
      <c r="H4482" s="713"/>
    </row>
    <row r="4483" ht="15.75">
      <c r="H4483" s="11" t="s">
        <v>43</v>
      </c>
    </row>
    <row r="4484" ht="15.75">
      <c r="H4484" s="11" t="s">
        <v>44</v>
      </c>
    </row>
    <row r="4485" ht="15.75">
      <c r="H4485" s="11" t="s">
        <v>45</v>
      </c>
    </row>
    <row r="4486" ht="15.75">
      <c r="H4486" s="594" t="s">
        <v>614</v>
      </c>
    </row>
    <row r="4487" ht="15.75">
      <c r="H4487" s="11" t="s">
        <v>615</v>
      </c>
    </row>
    <row r="4488" ht="15.75">
      <c r="H4488" s="11" t="s">
        <v>47</v>
      </c>
    </row>
    <row r="4489" ht="15.75">
      <c r="A4489" s="595"/>
    </row>
    <row r="4490" ht="15.75">
      <c r="A4490" s="3" t="s">
        <v>860</v>
      </c>
    </row>
    <row r="4491" spans="1:8" ht="12.75" customHeight="1">
      <c r="A4491" s="717" t="s">
        <v>0</v>
      </c>
      <c r="B4491" s="714"/>
      <c r="C4491" s="714"/>
      <c r="D4491" s="714"/>
      <c r="E4491" s="714"/>
      <c r="F4491" s="714"/>
      <c r="G4491" s="714"/>
      <c r="H4491" s="714"/>
    </row>
    <row r="4492" spans="1:8" ht="16.5" thickBot="1">
      <c r="A4492" s="597"/>
      <c r="B4492" s="597"/>
      <c r="C4492" s="598"/>
      <c r="D4492" s="598"/>
      <c r="E4492" s="598"/>
      <c r="F4492" s="598"/>
      <c r="G4492" s="598"/>
      <c r="H4492" s="598"/>
    </row>
    <row r="4493" spans="1:8" ht="12.75" customHeight="1">
      <c r="A4493" s="708" t="s">
        <v>617</v>
      </c>
      <c r="B4493" s="710" t="s">
        <v>618</v>
      </c>
      <c r="C4493" s="711" t="s">
        <v>619</v>
      </c>
      <c r="D4493" s="711"/>
      <c r="E4493" s="711"/>
      <c r="F4493" s="711"/>
      <c r="G4493" s="712" t="s">
        <v>620</v>
      </c>
      <c r="H4493" s="708" t="s">
        <v>621</v>
      </c>
    </row>
    <row r="4494" spans="1:8" ht="15.75">
      <c r="A4494" s="708"/>
      <c r="B4494" s="710"/>
      <c r="C4494" s="711"/>
      <c r="D4494" s="711"/>
      <c r="E4494" s="711"/>
      <c r="F4494" s="711"/>
      <c r="G4494" s="712"/>
      <c r="H4494" s="708"/>
    </row>
    <row r="4495" spans="1:8" ht="31.5">
      <c r="A4495" s="708"/>
      <c r="B4495" s="710"/>
      <c r="C4495" s="601" t="s">
        <v>622</v>
      </c>
      <c r="D4495" s="601" t="s">
        <v>623</v>
      </c>
      <c r="E4495" s="602" t="s">
        <v>622</v>
      </c>
      <c r="F4495" s="603" t="s">
        <v>623</v>
      </c>
      <c r="G4495" s="712"/>
      <c r="H4495" s="708"/>
    </row>
    <row r="4496" spans="1:8" ht="15.75">
      <c r="A4496" s="599">
        <v>1</v>
      </c>
      <c r="B4496" s="599">
        <v>2</v>
      </c>
      <c r="C4496" s="604">
        <v>3</v>
      </c>
      <c r="D4496" s="604">
        <v>4</v>
      </c>
      <c r="E4496" s="605"/>
      <c r="F4496" s="606"/>
      <c r="G4496" s="600">
        <v>5</v>
      </c>
      <c r="H4496" s="599">
        <v>6</v>
      </c>
    </row>
    <row r="4497" spans="1:8" ht="12.75" customHeight="1">
      <c r="A4497" s="607">
        <v>1</v>
      </c>
      <c r="B4497" s="709" t="s">
        <v>624</v>
      </c>
      <c r="C4497" s="709"/>
      <c r="D4497" s="709"/>
      <c r="E4497" s="709"/>
      <c r="F4497" s="709"/>
      <c r="G4497" s="709"/>
      <c r="H4497" s="709"/>
    </row>
    <row r="4498" spans="1:8" ht="15.75">
      <c r="A4498" s="608" t="s">
        <v>74</v>
      </c>
      <c r="B4498" s="609" t="s">
        <v>625</v>
      </c>
      <c r="C4498" s="610" t="s">
        <v>379</v>
      </c>
      <c r="D4498" s="610" t="s">
        <v>379</v>
      </c>
      <c r="E4498" s="610" t="s">
        <v>379</v>
      </c>
      <c r="F4498" s="610" t="s">
        <v>379</v>
      </c>
      <c r="G4498" s="610" t="s">
        <v>379</v>
      </c>
      <c r="H4498" s="611" t="s">
        <v>626</v>
      </c>
    </row>
    <row r="4499" spans="1:8" ht="15.75">
      <c r="A4499" s="608" t="s">
        <v>313</v>
      </c>
      <c r="B4499" s="609" t="s">
        <v>627</v>
      </c>
      <c r="C4499" s="610" t="s">
        <v>379</v>
      </c>
      <c r="D4499" s="610" t="s">
        <v>379</v>
      </c>
      <c r="E4499" s="610" t="s">
        <v>379</v>
      </c>
      <c r="F4499" s="610" t="s">
        <v>379</v>
      </c>
      <c r="G4499" s="610" t="s">
        <v>379</v>
      </c>
      <c r="H4499" s="611" t="s">
        <v>626</v>
      </c>
    </row>
    <row r="4500" spans="1:8" ht="31.5">
      <c r="A4500" s="608" t="s">
        <v>315</v>
      </c>
      <c r="B4500" s="612" t="s">
        <v>628</v>
      </c>
      <c r="C4500" s="610" t="s">
        <v>379</v>
      </c>
      <c r="D4500" s="610" t="s">
        <v>379</v>
      </c>
      <c r="E4500" s="610" t="s">
        <v>379</v>
      </c>
      <c r="F4500" s="610" t="s">
        <v>379</v>
      </c>
      <c r="G4500" s="610" t="s">
        <v>379</v>
      </c>
      <c r="H4500" s="611" t="s">
        <v>626</v>
      </c>
    </row>
    <row r="4501" spans="1:8" ht="47.25">
      <c r="A4501" s="608" t="s">
        <v>317</v>
      </c>
      <c r="B4501" s="612" t="s">
        <v>629</v>
      </c>
      <c r="C4501" s="610" t="s">
        <v>379</v>
      </c>
      <c r="D4501" s="610" t="s">
        <v>379</v>
      </c>
      <c r="E4501" s="610" t="s">
        <v>379</v>
      </c>
      <c r="F4501" s="610" t="s">
        <v>379</v>
      </c>
      <c r="G4501" s="610" t="s">
        <v>379</v>
      </c>
      <c r="H4501" s="611" t="s">
        <v>626</v>
      </c>
    </row>
    <row r="4502" spans="1:8" ht="15.75">
      <c r="A4502" s="608" t="s">
        <v>630</v>
      </c>
      <c r="B4502" s="613" t="s">
        <v>631</v>
      </c>
      <c r="C4502" s="610" t="s">
        <v>379</v>
      </c>
      <c r="D4502" s="610" t="s">
        <v>379</v>
      </c>
      <c r="E4502" s="610" t="s">
        <v>379</v>
      </c>
      <c r="F4502" s="610" t="s">
        <v>379</v>
      </c>
      <c r="G4502" s="610" t="s">
        <v>379</v>
      </c>
      <c r="H4502" s="611" t="s">
        <v>626</v>
      </c>
    </row>
    <row r="4503" spans="1:8" ht="15.75">
      <c r="A4503" s="608" t="s">
        <v>632</v>
      </c>
      <c r="B4503" s="613" t="s">
        <v>633</v>
      </c>
      <c r="C4503" s="610" t="s">
        <v>379</v>
      </c>
      <c r="D4503" s="610" t="s">
        <v>379</v>
      </c>
      <c r="E4503" s="610" t="s">
        <v>379</v>
      </c>
      <c r="F4503" s="610" t="s">
        <v>379</v>
      </c>
      <c r="G4503" s="610" t="s">
        <v>379</v>
      </c>
      <c r="H4503" s="611" t="s">
        <v>626</v>
      </c>
    </row>
    <row r="4504" spans="1:8" ht="12.75" customHeight="1">
      <c r="A4504" s="608">
        <v>2</v>
      </c>
      <c r="B4504" s="706" t="s">
        <v>634</v>
      </c>
      <c r="C4504" s="706"/>
      <c r="D4504" s="706"/>
      <c r="E4504" s="706"/>
      <c r="F4504" s="706"/>
      <c r="G4504" s="706"/>
      <c r="H4504" s="706"/>
    </row>
    <row r="4505" spans="1:8" ht="31.5">
      <c r="A4505" s="608" t="s">
        <v>321</v>
      </c>
      <c r="B4505" s="612" t="s">
        <v>635</v>
      </c>
      <c r="C4505" s="610" t="s">
        <v>861</v>
      </c>
      <c r="D4505" s="610" t="s">
        <v>723</v>
      </c>
      <c r="E4505" s="610" t="s">
        <v>379</v>
      </c>
      <c r="F4505" s="610" t="s">
        <v>379</v>
      </c>
      <c r="G4505" s="614">
        <v>0</v>
      </c>
      <c r="H4505" s="611"/>
    </row>
    <row r="4506" spans="1:8" ht="47.25">
      <c r="A4506" s="608" t="s">
        <v>325</v>
      </c>
      <c r="B4506" s="612" t="s">
        <v>638</v>
      </c>
      <c r="C4506" s="610" t="s">
        <v>379</v>
      </c>
      <c r="D4506" s="610" t="s">
        <v>379</v>
      </c>
      <c r="E4506" s="610" t="s">
        <v>379</v>
      </c>
      <c r="F4506" s="610" t="s">
        <v>379</v>
      </c>
      <c r="G4506" s="610" t="s">
        <v>379</v>
      </c>
      <c r="H4506" s="611" t="s">
        <v>626</v>
      </c>
    </row>
    <row r="4507" spans="1:8" ht="31.5">
      <c r="A4507" s="608" t="s">
        <v>639</v>
      </c>
      <c r="B4507" s="612" t="s">
        <v>640</v>
      </c>
      <c r="C4507" s="610" t="s">
        <v>379</v>
      </c>
      <c r="D4507" s="610" t="s">
        <v>379</v>
      </c>
      <c r="E4507" s="610" t="s">
        <v>379</v>
      </c>
      <c r="F4507" s="610" t="s">
        <v>379</v>
      </c>
      <c r="G4507" s="610" t="s">
        <v>379</v>
      </c>
      <c r="H4507" s="611" t="s">
        <v>626</v>
      </c>
    </row>
    <row r="4508" spans="1:8" ht="12.75" customHeight="1">
      <c r="A4508" s="608">
        <v>3</v>
      </c>
      <c r="B4508" s="706" t="s">
        <v>641</v>
      </c>
      <c r="C4508" s="706"/>
      <c r="D4508" s="706"/>
      <c r="E4508" s="706"/>
      <c r="F4508" s="706"/>
      <c r="G4508" s="706"/>
      <c r="H4508" s="706"/>
    </row>
    <row r="4509" spans="1:8" ht="31.5">
      <c r="A4509" s="608" t="s">
        <v>378</v>
      </c>
      <c r="B4509" s="613" t="s">
        <v>642</v>
      </c>
      <c r="C4509" s="610" t="s">
        <v>379</v>
      </c>
      <c r="D4509" s="610" t="s">
        <v>379</v>
      </c>
      <c r="E4509" s="610" t="s">
        <v>379</v>
      </c>
      <c r="F4509" s="610" t="s">
        <v>379</v>
      </c>
      <c r="G4509" s="610" t="s">
        <v>379</v>
      </c>
      <c r="H4509" s="611" t="s">
        <v>626</v>
      </c>
    </row>
    <row r="4510" spans="1:8" ht="15.75">
      <c r="A4510" s="608" t="s">
        <v>643</v>
      </c>
      <c r="B4510" s="613" t="s">
        <v>644</v>
      </c>
      <c r="C4510" s="610" t="s">
        <v>861</v>
      </c>
      <c r="D4510" s="610" t="s">
        <v>825</v>
      </c>
      <c r="E4510" s="610" t="s">
        <v>379</v>
      </c>
      <c r="F4510" s="610" t="s">
        <v>379</v>
      </c>
      <c r="G4510" s="614">
        <v>0</v>
      </c>
      <c r="H4510" s="611"/>
    </row>
    <row r="4511" spans="1:8" ht="15.75">
      <c r="A4511" s="608" t="s">
        <v>380</v>
      </c>
      <c r="B4511" s="613" t="s">
        <v>646</v>
      </c>
      <c r="C4511" s="610" t="s">
        <v>721</v>
      </c>
      <c r="D4511" s="610" t="s">
        <v>862</v>
      </c>
      <c r="E4511" s="610" t="s">
        <v>379</v>
      </c>
      <c r="F4511" s="610" t="s">
        <v>379</v>
      </c>
      <c r="G4511" s="614">
        <v>0</v>
      </c>
      <c r="H4511" s="611"/>
    </row>
    <row r="4512" spans="1:8" ht="15.75">
      <c r="A4512" s="608" t="s">
        <v>649</v>
      </c>
      <c r="B4512" s="613" t="s">
        <v>650</v>
      </c>
      <c r="C4512" s="610" t="s">
        <v>862</v>
      </c>
      <c r="D4512" s="610" t="s">
        <v>751</v>
      </c>
      <c r="E4512" s="610" t="s">
        <v>379</v>
      </c>
      <c r="F4512" s="610" t="s">
        <v>379</v>
      </c>
      <c r="G4512" s="614">
        <v>0</v>
      </c>
      <c r="H4512" s="611"/>
    </row>
    <row r="4513" spans="1:8" ht="15.75">
      <c r="A4513" s="608" t="s">
        <v>653</v>
      </c>
      <c r="B4513" s="613" t="s">
        <v>654</v>
      </c>
      <c r="C4513" s="610" t="s">
        <v>751</v>
      </c>
      <c r="D4513" s="610" t="s">
        <v>723</v>
      </c>
      <c r="E4513" s="610" t="s">
        <v>379</v>
      </c>
      <c r="F4513" s="610" t="s">
        <v>379</v>
      </c>
      <c r="G4513" s="614">
        <v>0</v>
      </c>
      <c r="H4513" s="611"/>
    </row>
    <row r="4514" spans="1:8" ht="12.75" customHeight="1">
      <c r="A4514" s="608">
        <v>4</v>
      </c>
      <c r="B4514" s="706" t="s">
        <v>656</v>
      </c>
      <c r="C4514" s="706"/>
      <c r="D4514" s="706"/>
      <c r="E4514" s="706"/>
      <c r="F4514" s="706"/>
      <c r="G4514" s="706"/>
      <c r="H4514" s="706"/>
    </row>
    <row r="4515" spans="1:8" ht="31.5">
      <c r="A4515" s="608" t="s">
        <v>657</v>
      </c>
      <c r="B4515" s="612" t="s">
        <v>658</v>
      </c>
      <c r="C4515" s="610" t="s">
        <v>379</v>
      </c>
      <c r="D4515" s="610" t="s">
        <v>379</v>
      </c>
      <c r="E4515" s="610" t="s">
        <v>379</v>
      </c>
      <c r="F4515" s="610" t="s">
        <v>379</v>
      </c>
      <c r="G4515" s="610" t="s">
        <v>379</v>
      </c>
      <c r="H4515" s="611" t="s">
        <v>626</v>
      </c>
    </row>
    <row r="4516" spans="1:8" ht="47.25">
      <c r="A4516" s="608" t="s">
        <v>659</v>
      </c>
      <c r="B4516" s="612" t="s">
        <v>660</v>
      </c>
      <c r="C4516" s="610" t="s">
        <v>379</v>
      </c>
      <c r="D4516" s="610" t="s">
        <v>379</v>
      </c>
      <c r="E4516" s="610" t="s">
        <v>379</v>
      </c>
      <c r="F4516" s="610" t="s">
        <v>379</v>
      </c>
      <c r="G4516" s="610" t="s">
        <v>379</v>
      </c>
      <c r="H4516" s="611" t="s">
        <v>626</v>
      </c>
    </row>
    <row r="4517" spans="1:8" ht="31.5">
      <c r="A4517" s="608" t="s">
        <v>661</v>
      </c>
      <c r="B4517" s="613" t="s">
        <v>662</v>
      </c>
      <c r="C4517" s="610" t="s">
        <v>379</v>
      </c>
      <c r="D4517" s="610" t="s">
        <v>379</v>
      </c>
      <c r="E4517" s="610" t="s">
        <v>379</v>
      </c>
      <c r="F4517" s="610" t="s">
        <v>379</v>
      </c>
      <c r="G4517" s="610" t="s">
        <v>379</v>
      </c>
      <c r="H4517" s="611" t="s">
        <v>626</v>
      </c>
    </row>
    <row r="4518" spans="1:8" ht="31.5">
      <c r="A4518" s="615" t="s">
        <v>663</v>
      </c>
      <c r="B4518" s="616" t="s">
        <v>664</v>
      </c>
      <c r="C4518" s="617" t="s">
        <v>379</v>
      </c>
      <c r="D4518" s="617" t="s">
        <v>379</v>
      </c>
      <c r="E4518" s="617" t="s">
        <v>379</v>
      </c>
      <c r="F4518" s="617" t="s">
        <v>379</v>
      </c>
      <c r="G4518" s="617" t="s">
        <v>379</v>
      </c>
      <c r="H4518" s="618" t="s">
        <v>626</v>
      </c>
    </row>
    <row r="4519" spans="1:8" ht="15.75">
      <c r="A4519" s="619"/>
      <c r="B4519" s="620"/>
      <c r="C4519" s="621"/>
      <c r="D4519" s="621"/>
      <c r="E4519" s="621"/>
      <c r="F4519" s="621"/>
      <c r="G4519" s="621"/>
      <c r="H4519" s="148"/>
    </row>
    <row r="4520" spans="1:8" ht="12.75" customHeight="1">
      <c r="A4520" s="707" t="s">
        <v>665</v>
      </c>
      <c r="B4520" s="707"/>
      <c r="C4520" s="707"/>
      <c r="D4520" s="707"/>
      <c r="E4520" s="707"/>
      <c r="F4520" s="707"/>
      <c r="G4520" s="707"/>
      <c r="H4520" s="707"/>
    </row>
    <row r="4522" ht="15.75">
      <c r="H4522" s="11" t="s">
        <v>609</v>
      </c>
    </row>
    <row r="4523" ht="15.75">
      <c r="H4523" s="11" t="s">
        <v>610</v>
      </c>
    </row>
    <row r="4524" ht="15.75">
      <c r="H4524" s="11" t="s">
        <v>611</v>
      </c>
    </row>
    <row r="4525" ht="15.75">
      <c r="H4525" s="11"/>
    </row>
    <row r="4526" spans="1:8" ht="12.75" customHeight="1">
      <c r="A4526" s="713" t="s">
        <v>612</v>
      </c>
      <c r="B4526" s="713"/>
      <c r="C4526" s="713"/>
      <c r="D4526" s="713"/>
      <c r="E4526" s="713"/>
      <c r="F4526" s="713"/>
      <c r="G4526" s="713"/>
      <c r="H4526" s="713"/>
    </row>
    <row r="4527" spans="1:8" ht="12.75" customHeight="1">
      <c r="A4527" s="713" t="s">
        <v>613</v>
      </c>
      <c r="B4527" s="713"/>
      <c r="C4527" s="713"/>
      <c r="D4527" s="713"/>
      <c r="E4527" s="713"/>
      <c r="F4527" s="713"/>
      <c r="G4527" s="713"/>
      <c r="H4527" s="713"/>
    </row>
    <row r="4528" ht="15.75">
      <c r="H4528" s="11" t="s">
        <v>43</v>
      </c>
    </row>
    <row r="4529" ht="15.75">
      <c r="H4529" s="11" t="s">
        <v>44</v>
      </c>
    </row>
    <row r="4530" ht="15.75">
      <c r="H4530" s="11" t="s">
        <v>45</v>
      </c>
    </row>
    <row r="4531" ht="15.75">
      <c r="H4531" s="594" t="s">
        <v>614</v>
      </c>
    </row>
    <row r="4532" ht="15.75">
      <c r="H4532" s="11" t="s">
        <v>615</v>
      </c>
    </row>
    <row r="4533" ht="15.75">
      <c r="H4533" s="11" t="s">
        <v>47</v>
      </c>
    </row>
    <row r="4534" ht="15.75">
      <c r="A4534" s="595"/>
    </row>
    <row r="4535" ht="15.75">
      <c r="A4535" s="3" t="s">
        <v>863</v>
      </c>
    </row>
    <row r="4536" spans="1:8" ht="12.75" customHeight="1">
      <c r="A4536" s="717" t="s">
        <v>0</v>
      </c>
      <c r="B4536" s="714"/>
      <c r="C4536" s="714"/>
      <c r="D4536" s="714"/>
      <c r="E4536" s="714"/>
      <c r="F4536" s="714"/>
      <c r="G4536" s="714"/>
      <c r="H4536" s="714"/>
    </row>
    <row r="4537" spans="1:8" ht="16.5" thickBot="1">
      <c r="A4537" s="597"/>
      <c r="B4537" s="597"/>
      <c r="C4537" s="598"/>
      <c r="D4537" s="598"/>
      <c r="E4537" s="598"/>
      <c r="F4537" s="598"/>
      <c r="G4537" s="598"/>
      <c r="H4537" s="598"/>
    </row>
    <row r="4538" spans="1:8" ht="12.75" customHeight="1">
      <c r="A4538" s="708" t="s">
        <v>617</v>
      </c>
      <c r="B4538" s="710" t="s">
        <v>618</v>
      </c>
      <c r="C4538" s="711" t="s">
        <v>619</v>
      </c>
      <c r="D4538" s="711"/>
      <c r="E4538" s="711"/>
      <c r="F4538" s="711"/>
      <c r="G4538" s="712" t="s">
        <v>620</v>
      </c>
      <c r="H4538" s="708" t="s">
        <v>621</v>
      </c>
    </row>
    <row r="4539" spans="1:8" ht="15.75">
      <c r="A4539" s="708"/>
      <c r="B4539" s="710"/>
      <c r="C4539" s="711"/>
      <c r="D4539" s="711"/>
      <c r="E4539" s="711"/>
      <c r="F4539" s="711"/>
      <c r="G4539" s="712"/>
      <c r="H4539" s="708"/>
    </row>
    <row r="4540" spans="1:8" ht="31.5">
      <c r="A4540" s="708"/>
      <c r="B4540" s="710"/>
      <c r="C4540" s="601" t="s">
        <v>622</v>
      </c>
      <c r="D4540" s="601" t="s">
        <v>623</v>
      </c>
      <c r="E4540" s="602" t="s">
        <v>622</v>
      </c>
      <c r="F4540" s="603" t="s">
        <v>623</v>
      </c>
      <c r="G4540" s="712"/>
      <c r="H4540" s="708"/>
    </row>
    <row r="4541" spans="1:8" ht="15.75">
      <c r="A4541" s="599">
        <v>1</v>
      </c>
      <c r="B4541" s="599">
        <v>2</v>
      </c>
      <c r="C4541" s="604">
        <v>3</v>
      </c>
      <c r="D4541" s="604">
        <v>4</v>
      </c>
      <c r="E4541" s="605"/>
      <c r="F4541" s="606"/>
      <c r="G4541" s="600">
        <v>5</v>
      </c>
      <c r="H4541" s="599">
        <v>6</v>
      </c>
    </row>
    <row r="4542" spans="1:8" ht="12.75" customHeight="1">
      <c r="A4542" s="607">
        <v>1</v>
      </c>
      <c r="B4542" s="709" t="s">
        <v>624</v>
      </c>
      <c r="C4542" s="709"/>
      <c r="D4542" s="709"/>
      <c r="E4542" s="709"/>
      <c r="F4542" s="709"/>
      <c r="G4542" s="709"/>
      <c r="H4542" s="709"/>
    </row>
    <row r="4543" spans="1:8" ht="15.75">
      <c r="A4543" s="608" t="s">
        <v>74</v>
      </c>
      <c r="B4543" s="609" t="s">
        <v>625</v>
      </c>
      <c r="C4543" s="610" t="s">
        <v>379</v>
      </c>
      <c r="D4543" s="610" t="s">
        <v>379</v>
      </c>
      <c r="E4543" s="610" t="s">
        <v>379</v>
      </c>
      <c r="F4543" s="610" t="s">
        <v>379</v>
      </c>
      <c r="G4543" s="610" t="s">
        <v>379</v>
      </c>
      <c r="H4543" s="611" t="s">
        <v>626</v>
      </c>
    </row>
    <row r="4544" spans="1:8" ht="15.75">
      <c r="A4544" s="608" t="s">
        <v>313</v>
      </c>
      <c r="B4544" s="609" t="s">
        <v>627</v>
      </c>
      <c r="C4544" s="610" t="s">
        <v>379</v>
      </c>
      <c r="D4544" s="610" t="s">
        <v>379</v>
      </c>
      <c r="E4544" s="610" t="s">
        <v>379</v>
      </c>
      <c r="F4544" s="610" t="s">
        <v>379</v>
      </c>
      <c r="G4544" s="610" t="s">
        <v>379</v>
      </c>
      <c r="H4544" s="611" t="s">
        <v>626</v>
      </c>
    </row>
    <row r="4545" spans="1:8" ht="31.5">
      <c r="A4545" s="608" t="s">
        <v>315</v>
      </c>
      <c r="B4545" s="612" t="s">
        <v>628</v>
      </c>
      <c r="C4545" s="610" t="s">
        <v>379</v>
      </c>
      <c r="D4545" s="610" t="s">
        <v>379</v>
      </c>
      <c r="E4545" s="610" t="s">
        <v>379</v>
      </c>
      <c r="F4545" s="610" t="s">
        <v>379</v>
      </c>
      <c r="G4545" s="610" t="s">
        <v>379</v>
      </c>
      <c r="H4545" s="611" t="s">
        <v>626</v>
      </c>
    </row>
    <row r="4546" spans="1:8" ht="47.25">
      <c r="A4546" s="608" t="s">
        <v>317</v>
      </c>
      <c r="B4546" s="612" t="s">
        <v>629</v>
      </c>
      <c r="C4546" s="610" t="s">
        <v>379</v>
      </c>
      <c r="D4546" s="610" t="s">
        <v>379</v>
      </c>
      <c r="E4546" s="610" t="s">
        <v>379</v>
      </c>
      <c r="F4546" s="610" t="s">
        <v>379</v>
      </c>
      <c r="G4546" s="610" t="s">
        <v>379</v>
      </c>
      <c r="H4546" s="611" t="s">
        <v>626</v>
      </c>
    </row>
    <row r="4547" spans="1:8" ht="15.75">
      <c r="A4547" s="608" t="s">
        <v>630</v>
      </c>
      <c r="B4547" s="613" t="s">
        <v>631</v>
      </c>
      <c r="C4547" s="610" t="s">
        <v>379</v>
      </c>
      <c r="D4547" s="610" t="s">
        <v>379</v>
      </c>
      <c r="E4547" s="610" t="s">
        <v>379</v>
      </c>
      <c r="F4547" s="610" t="s">
        <v>379</v>
      </c>
      <c r="G4547" s="610" t="s">
        <v>379</v>
      </c>
      <c r="H4547" s="611" t="s">
        <v>626</v>
      </c>
    </row>
    <row r="4548" spans="1:8" ht="15.75">
      <c r="A4548" s="608" t="s">
        <v>632</v>
      </c>
      <c r="B4548" s="613" t="s">
        <v>633</v>
      </c>
      <c r="C4548" s="610" t="s">
        <v>379</v>
      </c>
      <c r="D4548" s="610" t="s">
        <v>379</v>
      </c>
      <c r="E4548" s="610" t="s">
        <v>379</v>
      </c>
      <c r="F4548" s="610" t="s">
        <v>379</v>
      </c>
      <c r="G4548" s="610" t="s">
        <v>379</v>
      </c>
      <c r="H4548" s="611" t="s">
        <v>626</v>
      </c>
    </row>
    <row r="4549" spans="1:8" ht="12.75" customHeight="1">
      <c r="A4549" s="608">
        <v>2</v>
      </c>
      <c r="B4549" s="706" t="s">
        <v>634</v>
      </c>
      <c r="C4549" s="706"/>
      <c r="D4549" s="706"/>
      <c r="E4549" s="706"/>
      <c r="F4549" s="706"/>
      <c r="G4549" s="706"/>
      <c r="H4549" s="706"/>
    </row>
    <row r="4550" spans="1:8" ht="31.5">
      <c r="A4550" s="608" t="s">
        <v>321</v>
      </c>
      <c r="B4550" s="612" t="s">
        <v>635</v>
      </c>
      <c r="C4550" s="610" t="s">
        <v>864</v>
      </c>
      <c r="D4550" s="610" t="s">
        <v>667</v>
      </c>
      <c r="E4550" s="610" t="s">
        <v>379</v>
      </c>
      <c r="F4550" s="610" t="s">
        <v>379</v>
      </c>
      <c r="G4550" s="614">
        <v>0</v>
      </c>
      <c r="H4550" s="611"/>
    </row>
    <row r="4551" spans="1:8" ht="47.25">
      <c r="A4551" s="608" t="s">
        <v>325</v>
      </c>
      <c r="B4551" s="612" t="s">
        <v>638</v>
      </c>
      <c r="C4551" s="610" t="s">
        <v>379</v>
      </c>
      <c r="D4551" s="610" t="s">
        <v>379</v>
      </c>
      <c r="E4551" s="610" t="s">
        <v>379</v>
      </c>
      <c r="F4551" s="610" t="s">
        <v>379</v>
      </c>
      <c r="G4551" s="610" t="s">
        <v>379</v>
      </c>
      <c r="H4551" s="611" t="s">
        <v>626</v>
      </c>
    </row>
    <row r="4552" spans="1:8" ht="31.5">
      <c r="A4552" s="608" t="s">
        <v>639</v>
      </c>
      <c r="B4552" s="612" t="s">
        <v>640</v>
      </c>
      <c r="C4552" s="610" t="s">
        <v>379</v>
      </c>
      <c r="D4552" s="610" t="s">
        <v>379</v>
      </c>
      <c r="E4552" s="610" t="s">
        <v>379</v>
      </c>
      <c r="F4552" s="610" t="s">
        <v>379</v>
      </c>
      <c r="G4552" s="610" t="s">
        <v>379</v>
      </c>
      <c r="H4552" s="611" t="s">
        <v>626</v>
      </c>
    </row>
    <row r="4553" spans="1:8" ht="12.75" customHeight="1">
      <c r="A4553" s="608">
        <v>3</v>
      </c>
      <c r="B4553" s="706" t="s">
        <v>641</v>
      </c>
      <c r="C4553" s="706"/>
      <c r="D4553" s="706"/>
      <c r="E4553" s="706"/>
      <c r="F4553" s="706"/>
      <c r="G4553" s="706"/>
      <c r="H4553" s="706"/>
    </row>
    <row r="4554" spans="1:8" ht="31.5">
      <c r="A4554" s="608" t="s">
        <v>378</v>
      </c>
      <c r="B4554" s="613" t="s">
        <v>642</v>
      </c>
      <c r="C4554" s="610" t="s">
        <v>379</v>
      </c>
      <c r="D4554" s="610" t="s">
        <v>379</v>
      </c>
      <c r="E4554" s="610" t="s">
        <v>379</v>
      </c>
      <c r="F4554" s="610" t="s">
        <v>379</v>
      </c>
      <c r="G4554" s="610" t="s">
        <v>379</v>
      </c>
      <c r="H4554" s="611" t="s">
        <v>626</v>
      </c>
    </row>
    <row r="4555" spans="1:8" ht="15.75">
      <c r="A4555" s="608" t="s">
        <v>643</v>
      </c>
      <c r="B4555" s="613" t="s">
        <v>644</v>
      </c>
      <c r="C4555" s="610" t="s">
        <v>864</v>
      </c>
      <c r="D4555" s="610" t="s">
        <v>865</v>
      </c>
      <c r="E4555" s="610" t="s">
        <v>379</v>
      </c>
      <c r="F4555" s="610" t="s">
        <v>379</v>
      </c>
      <c r="G4555" s="614">
        <v>0</v>
      </c>
      <c r="H4555" s="611"/>
    </row>
    <row r="4556" spans="1:8" ht="15.75">
      <c r="A4556" s="608" t="s">
        <v>380</v>
      </c>
      <c r="B4556" s="613" t="s">
        <v>646</v>
      </c>
      <c r="C4556" s="610" t="s">
        <v>865</v>
      </c>
      <c r="D4556" s="610" t="s">
        <v>769</v>
      </c>
      <c r="E4556" s="610" t="s">
        <v>379</v>
      </c>
      <c r="F4556" s="610" t="s">
        <v>379</v>
      </c>
      <c r="G4556" s="614">
        <v>0</v>
      </c>
      <c r="H4556" s="611"/>
    </row>
    <row r="4557" spans="1:8" ht="15.75">
      <c r="A4557" s="608" t="s">
        <v>649</v>
      </c>
      <c r="B4557" s="613" t="s">
        <v>650</v>
      </c>
      <c r="C4557" s="610" t="s">
        <v>769</v>
      </c>
      <c r="D4557" s="610" t="s">
        <v>866</v>
      </c>
      <c r="E4557" s="610" t="s">
        <v>379</v>
      </c>
      <c r="F4557" s="610" t="s">
        <v>379</v>
      </c>
      <c r="G4557" s="614">
        <v>0</v>
      </c>
      <c r="H4557" s="611"/>
    </row>
    <row r="4558" spans="1:8" ht="15.75">
      <c r="A4558" s="608" t="s">
        <v>653</v>
      </c>
      <c r="B4558" s="613" t="s">
        <v>654</v>
      </c>
      <c r="C4558" s="610" t="s">
        <v>866</v>
      </c>
      <c r="D4558" s="610" t="s">
        <v>667</v>
      </c>
      <c r="E4558" s="610" t="s">
        <v>379</v>
      </c>
      <c r="F4558" s="610" t="s">
        <v>379</v>
      </c>
      <c r="G4558" s="614">
        <v>0</v>
      </c>
      <c r="H4558" s="611"/>
    </row>
    <row r="4559" spans="1:8" ht="12.75" customHeight="1">
      <c r="A4559" s="608">
        <v>4</v>
      </c>
      <c r="B4559" s="706" t="s">
        <v>656</v>
      </c>
      <c r="C4559" s="706"/>
      <c r="D4559" s="706"/>
      <c r="E4559" s="706"/>
      <c r="F4559" s="706"/>
      <c r="G4559" s="706"/>
      <c r="H4559" s="706"/>
    </row>
    <row r="4560" spans="1:8" ht="31.5">
      <c r="A4560" s="608" t="s">
        <v>657</v>
      </c>
      <c r="B4560" s="612" t="s">
        <v>658</v>
      </c>
      <c r="C4560" s="610" t="s">
        <v>379</v>
      </c>
      <c r="D4560" s="610" t="s">
        <v>379</v>
      </c>
      <c r="E4560" s="610" t="s">
        <v>379</v>
      </c>
      <c r="F4560" s="610" t="s">
        <v>379</v>
      </c>
      <c r="G4560" s="610" t="s">
        <v>379</v>
      </c>
      <c r="H4560" s="611" t="s">
        <v>626</v>
      </c>
    </row>
    <row r="4561" spans="1:8" ht="47.25">
      <c r="A4561" s="608" t="s">
        <v>659</v>
      </c>
      <c r="B4561" s="612" t="s">
        <v>660</v>
      </c>
      <c r="C4561" s="610" t="s">
        <v>379</v>
      </c>
      <c r="D4561" s="610" t="s">
        <v>379</v>
      </c>
      <c r="E4561" s="610" t="s">
        <v>379</v>
      </c>
      <c r="F4561" s="610" t="s">
        <v>379</v>
      </c>
      <c r="G4561" s="610" t="s">
        <v>379</v>
      </c>
      <c r="H4561" s="611" t="s">
        <v>626</v>
      </c>
    </row>
    <row r="4562" spans="1:8" ht="31.5">
      <c r="A4562" s="608" t="s">
        <v>661</v>
      </c>
      <c r="B4562" s="613" t="s">
        <v>662</v>
      </c>
      <c r="C4562" s="610" t="s">
        <v>379</v>
      </c>
      <c r="D4562" s="610" t="s">
        <v>379</v>
      </c>
      <c r="E4562" s="610" t="s">
        <v>379</v>
      </c>
      <c r="F4562" s="610" t="s">
        <v>379</v>
      </c>
      <c r="G4562" s="610" t="s">
        <v>379</v>
      </c>
      <c r="H4562" s="611" t="s">
        <v>626</v>
      </c>
    </row>
    <row r="4563" spans="1:8" ht="31.5">
      <c r="A4563" s="615" t="s">
        <v>663</v>
      </c>
      <c r="B4563" s="616" t="s">
        <v>664</v>
      </c>
      <c r="C4563" s="617" t="s">
        <v>379</v>
      </c>
      <c r="D4563" s="617" t="s">
        <v>379</v>
      </c>
      <c r="E4563" s="617" t="s">
        <v>379</v>
      </c>
      <c r="F4563" s="617" t="s">
        <v>379</v>
      </c>
      <c r="G4563" s="617" t="s">
        <v>379</v>
      </c>
      <c r="H4563" s="618" t="s">
        <v>626</v>
      </c>
    </row>
    <row r="4564" spans="1:8" ht="15.75">
      <c r="A4564" s="619"/>
      <c r="B4564" s="620"/>
      <c r="C4564" s="621"/>
      <c r="D4564" s="621"/>
      <c r="E4564" s="621"/>
      <c r="F4564" s="621"/>
      <c r="G4564" s="621"/>
      <c r="H4564" s="148"/>
    </row>
    <row r="4565" spans="1:8" ht="12.75" customHeight="1">
      <c r="A4565" s="707" t="s">
        <v>665</v>
      </c>
      <c r="B4565" s="707"/>
      <c r="C4565" s="707"/>
      <c r="D4565" s="707"/>
      <c r="E4565" s="707"/>
      <c r="F4565" s="707"/>
      <c r="G4565" s="707"/>
      <c r="H4565" s="707"/>
    </row>
    <row r="4566" spans="1:8" ht="15.75">
      <c r="A4566" s="622"/>
      <c r="B4566" s="622"/>
      <c r="C4566" s="622"/>
      <c r="D4566" s="622"/>
      <c r="E4566" s="622"/>
      <c r="F4566" s="622"/>
      <c r="G4566" s="622"/>
      <c r="H4566" s="622"/>
    </row>
    <row r="4567" spans="1:8" ht="15.75">
      <c r="A4567" s="622"/>
      <c r="B4567" s="622"/>
      <c r="C4567" s="622"/>
      <c r="D4567" s="622"/>
      <c r="E4567" s="622"/>
      <c r="F4567" s="622"/>
      <c r="G4567" s="622"/>
      <c r="H4567" s="622"/>
    </row>
    <row r="4568" ht="15.75">
      <c r="H4568" s="11" t="s">
        <v>609</v>
      </c>
    </row>
    <row r="4569" ht="15.75">
      <c r="H4569" s="11" t="s">
        <v>610</v>
      </c>
    </row>
    <row r="4570" ht="15.75">
      <c r="H4570" s="11" t="s">
        <v>611</v>
      </c>
    </row>
    <row r="4571" ht="15.75">
      <c r="H4571" s="11"/>
    </row>
    <row r="4572" spans="1:8" ht="12.75" customHeight="1">
      <c r="A4572" s="713" t="s">
        <v>612</v>
      </c>
      <c r="B4572" s="713"/>
      <c r="C4572" s="713"/>
      <c r="D4572" s="713"/>
      <c r="E4572" s="713"/>
      <c r="F4572" s="713"/>
      <c r="G4572" s="713"/>
      <c r="H4572" s="713"/>
    </row>
    <row r="4573" spans="1:8" ht="12.75" customHeight="1">
      <c r="A4573" s="713" t="s">
        <v>613</v>
      </c>
      <c r="B4573" s="713"/>
      <c r="C4573" s="713"/>
      <c r="D4573" s="713"/>
      <c r="E4573" s="713"/>
      <c r="F4573" s="713"/>
      <c r="G4573" s="713"/>
      <c r="H4573" s="713"/>
    </row>
    <row r="4574" ht="15.75">
      <c r="H4574" s="11" t="s">
        <v>43</v>
      </c>
    </row>
    <row r="4575" ht="15.75">
      <c r="H4575" s="11" t="s">
        <v>44</v>
      </c>
    </row>
    <row r="4576" ht="15.75">
      <c r="H4576" s="11" t="s">
        <v>45</v>
      </c>
    </row>
    <row r="4577" ht="15.75">
      <c r="H4577" s="594" t="s">
        <v>614</v>
      </c>
    </row>
    <row r="4578" ht="15.75">
      <c r="H4578" s="11" t="s">
        <v>615</v>
      </c>
    </row>
    <row r="4579" ht="15.75">
      <c r="H4579" s="11" t="s">
        <v>47</v>
      </c>
    </row>
    <row r="4580" ht="15.75">
      <c r="A4580" s="595"/>
    </row>
    <row r="4581" ht="15.75">
      <c r="A4581" s="3" t="s">
        <v>867</v>
      </c>
    </row>
    <row r="4582" spans="1:8" ht="12.75" customHeight="1">
      <c r="A4582" s="717" t="s">
        <v>0</v>
      </c>
      <c r="B4582" s="714"/>
      <c r="C4582" s="714"/>
      <c r="D4582" s="714"/>
      <c r="E4582" s="714"/>
      <c r="F4582" s="714"/>
      <c r="G4582" s="714"/>
      <c r="H4582" s="714"/>
    </row>
    <row r="4583" spans="1:8" ht="16.5" thickBot="1">
      <c r="A4583" s="597"/>
      <c r="B4583" s="597"/>
      <c r="C4583" s="598"/>
      <c r="D4583" s="598"/>
      <c r="E4583" s="598"/>
      <c r="F4583" s="598"/>
      <c r="G4583" s="598"/>
      <c r="H4583" s="598"/>
    </row>
    <row r="4584" spans="1:8" ht="12.75" customHeight="1">
      <c r="A4584" s="708" t="s">
        <v>617</v>
      </c>
      <c r="B4584" s="710" t="s">
        <v>618</v>
      </c>
      <c r="C4584" s="711" t="s">
        <v>619</v>
      </c>
      <c r="D4584" s="711"/>
      <c r="E4584" s="711"/>
      <c r="F4584" s="711"/>
      <c r="G4584" s="712" t="s">
        <v>620</v>
      </c>
      <c r="H4584" s="708" t="s">
        <v>621</v>
      </c>
    </row>
    <row r="4585" spans="1:8" ht="15.75">
      <c r="A4585" s="708"/>
      <c r="B4585" s="710"/>
      <c r="C4585" s="711"/>
      <c r="D4585" s="711"/>
      <c r="E4585" s="711"/>
      <c r="F4585" s="711"/>
      <c r="G4585" s="712"/>
      <c r="H4585" s="708"/>
    </row>
    <row r="4586" spans="1:8" ht="31.5">
      <c r="A4586" s="708"/>
      <c r="B4586" s="710"/>
      <c r="C4586" s="601" t="s">
        <v>622</v>
      </c>
      <c r="D4586" s="601" t="s">
        <v>623</v>
      </c>
      <c r="E4586" s="602" t="s">
        <v>622</v>
      </c>
      <c r="F4586" s="603" t="s">
        <v>623</v>
      </c>
      <c r="G4586" s="712"/>
      <c r="H4586" s="708"/>
    </row>
    <row r="4587" spans="1:8" ht="15.75">
      <c r="A4587" s="599">
        <v>1</v>
      </c>
      <c r="B4587" s="599">
        <v>2</v>
      </c>
      <c r="C4587" s="604">
        <v>3</v>
      </c>
      <c r="D4587" s="604">
        <v>4</v>
      </c>
      <c r="E4587" s="605"/>
      <c r="F4587" s="606"/>
      <c r="G4587" s="600">
        <v>5</v>
      </c>
      <c r="H4587" s="599">
        <v>6</v>
      </c>
    </row>
    <row r="4588" spans="1:8" ht="12.75" customHeight="1">
      <c r="A4588" s="607">
        <v>1</v>
      </c>
      <c r="B4588" s="709" t="s">
        <v>624</v>
      </c>
      <c r="C4588" s="709"/>
      <c r="D4588" s="709"/>
      <c r="E4588" s="709"/>
      <c r="F4588" s="709"/>
      <c r="G4588" s="709"/>
      <c r="H4588" s="709"/>
    </row>
    <row r="4589" spans="1:8" ht="15.75">
      <c r="A4589" s="608" t="s">
        <v>74</v>
      </c>
      <c r="B4589" s="609" t="s">
        <v>625</v>
      </c>
      <c r="C4589" s="610" t="s">
        <v>379</v>
      </c>
      <c r="D4589" s="610" t="s">
        <v>379</v>
      </c>
      <c r="E4589" s="610" t="s">
        <v>379</v>
      </c>
      <c r="F4589" s="610" t="s">
        <v>379</v>
      </c>
      <c r="G4589" s="610" t="s">
        <v>379</v>
      </c>
      <c r="H4589" s="611" t="s">
        <v>626</v>
      </c>
    </row>
    <row r="4590" spans="1:8" ht="15.75">
      <c r="A4590" s="608" t="s">
        <v>313</v>
      </c>
      <c r="B4590" s="609" t="s">
        <v>627</v>
      </c>
      <c r="C4590" s="610" t="s">
        <v>379</v>
      </c>
      <c r="D4590" s="610" t="s">
        <v>379</v>
      </c>
      <c r="E4590" s="610" t="s">
        <v>379</v>
      </c>
      <c r="F4590" s="610" t="s">
        <v>379</v>
      </c>
      <c r="G4590" s="610" t="s">
        <v>379</v>
      </c>
      <c r="H4590" s="611" t="s">
        <v>626</v>
      </c>
    </row>
    <row r="4591" spans="1:8" ht="31.5">
      <c r="A4591" s="608" t="s">
        <v>315</v>
      </c>
      <c r="B4591" s="612" t="s">
        <v>628</v>
      </c>
      <c r="C4591" s="610" t="s">
        <v>379</v>
      </c>
      <c r="D4591" s="610" t="s">
        <v>379</v>
      </c>
      <c r="E4591" s="610" t="s">
        <v>379</v>
      </c>
      <c r="F4591" s="610" t="s">
        <v>379</v>
      </c>
      <c r="G4591" s="610" t="s">
        <v>379</v>
      </c>
      <c r="H4591" s="611" t="s">
        <v>626</v>
      </c>
    </row>
    <row r="4592" spans="1:8" ht="47.25">
      <c r="A4592" s="608" t="s">
        <v>317</v>
      </c>
      <c r="B4592" s="612" t="s">
        <v>629</v>
      </c>
      <c r="C4592" s="610" t="s">
        <v>379</v>
      </c>
      <c r="D4592" s="610" t="s">
        <v>379</v>
      </c>
      <c r="E4592" s="610" t="s">
        <v>379</v>
      </c>
      <c r="F4592" s="610" t="s">
        <v>379</v>
      </c>
      <c r="G4592" s="610" t="s">
        <v>379</v>
      </c>
      <c r="H4592" s="611" t="s">
        <v>626</v>
      </c>
    </row>
    <row r="4593" spans="1:8" ht="15.75">
      <c r="A4593" s="608" t="s">
        <v>630</v>
      </c>
      <c r="B4593" s="613" t="s">
        <v>631</v>
      </c>
      <c r="C4593" s="610" t="s">
        <v>379</v>
      </c>
      <c r="D4593" s="610" t="s">
        <v>379</v>
      </c>
      <c r="E4593" s="610" t="s">
        <v>379</v>
      </c>
      <c r="F4593" s="610" t="s">
        <v>379</v>
      </c>
      <c r="G4593" s="610" t="s">
        <v>379</v>
      </c>
      <c r="H4593" s="611" t="s">
        <v>626</v>
      </c>
    </row>
    <row r="4594" spans="1:8" ht="15.75">
      <c r="A4594" s="608" t="s">
        <v>632</v>
      </c>
      <c r="B4594" s="613" t="s">
        <v>633</v>
      </c>
      <c r="C4594" s="610" t="s">
        <v>379</v>
      </c>
      <c r="D4594" s="610" t="s">
        <v>379</v>
      </c>
      <c r="E4594" s="610" t="s">
        <v>379</v>
      </c>
      <c r="F4594" s="610" t="s">
        <v>379</v>
      </c>
      <c r="G4594" s="610" t="s">
        <v>379</v>
      </c>
      <c r="H4594" s="611" t="s">
        <v>626</v>
      </c>
    </row>
    <row r="4595" spans="1:8" ht="12.75" customHeight="1">
      <c r="A4595" s="608">
        <v>2</v>
      </c>
      <c r="B4595" s="706" t="s">
        <v>634</v>
      </c>
      <c r="C4595" s="706"/>
      <c r="D4595" s="706"/>
      <c r="E4595" s="706"/>
      <c r="F4595" s="706"/>
      <c r="G4595" s="706"/>
      <c r="H4595" s="706"/>
    </row>
    <row r="4596" spans="1:8" ht="31.5">
      <c r="A4596" s="608" t="s">
        <v>321</v>
      </c>
      <c r="B4596" s="612" t="s">
        <v>635</v>
      </c>
      <c r="C4596" s="610" t="s">
        <v>864</v>
      </c>
      <c r="D4596" s="610" t="s">
        <v>667</v>
      </c>
      <c r="E4596" s="610" t="s">
        <v>379</v>
      </c>
      <c r="F4596" s="610" t="s">
        <v>379</v>
      </c>
      <c r="G4596" s="614">
        <v>0</v>
      </c>
      <c r="H4596" s="611"/>
    </row>
    <row r="4597" spans="1:8" ht="47.25">
      <c r="A4597" s="608" t="s">
        <v>325</v>
      </c>
      <c r="B4597" s="612" t="s">
        <v>638</v>
      </c>
      <c r="C4597" s="610" t="s">
        <v>379</v>
      </c>
      <c r="D4597" s="610" t="s">
        <v>379</v>
      </c>
      <c r="E4597" s="610" t="s">
        <v>379</v>
      </c>
      <c r="F4597" s="610" t="s">
        <v>379</v>
      </c>
      <c r="G4597" s="610" t="s">
        <v>379</v>
      </c>
      <c r="H4597" s="611" t="s">
        <v>626</v>
      </c>
    </row>
    <row r="4598" spans="1:8" ht="31.5">
      <c r="A4598" s="608" t="s">
        <v>639</v>
      </c>
      <c r="B4598" s="612" t="s">
        <v>640</v>
      </c>
      <c r="C4598" s="610" t="s">
        <v>379</v>
      </c>
      <c r="D4598" s="610" t="s">
        <v>379</v>
      </c>
      <c r="E4598" s="610" t="s">
        <v>379</v>
      </c>
      <c r="F4598" s="610" t="s">
        <v>379</v>
      </c>
      <c r="G4598" s="610" t="s">
        <v>379</v>
      </c>
      <c r="H4598" s="611" t="s">
        <v>626</v>
      </c>
    </row>
    <row r="4599" spans="1:8" ht="12.75" customHeight="1">
      <c r="A4599" s="608">
        <v>3</v>
      </c>
      <c r="B4599" s="706" t="s">
        <v>641</v>
      </c>
      <c r="C4599" s="706"/>
      <c r="D4599" s="706"/>
      <c r="E4599" s="706"/>
      <c r="F4599" s="706"/>
      <c r="G4599" s="706"/>
      <c r="H4599" s="706"/>
    </row>
    <row r="4600" spans="1:8" ht="31.5">
      <c r="A4600" s="608" t="s">
        <v>378</v>
      </c>
      <c r="B4600" s="613" t="s">
        <v>642</v>
      </c>
      <c r="C4600" s="610" t="s">
        <v>379</v>
      </c>
      <c r="D4600" s="610" t="s">
        <v>379</v>
      </c>
      <c r="E4600" s="610" t="s">
        <v>379</v>
      </c>
      <c r="F4600" s="610" t="s">
        <v>379</v>
      </c>
      <c r="G4600" s="610" t="s">
        <v>379</v>
      </c>
      <c r="H4600" s="611" t="s">
        <v>626</v>
      </c>
    </row>
    <row r="4601" spans="1:8" ht="15.75">
      <c r="A4601" s="608" t="s">
        <v>643</v>
      </c>
      <c r="B4601" s="613" t="s">
        <v>644</v>
      </c>
      <c r="C4601" s="610" t="s">
        <v>864</v>
      </c>
      <c r="D4601" s="610" t="s">
        <v>865</v>
      </c>
      <c r="E4601" s="610" t="s">
        <v>379</v>
      </c>
      <c r="F4601" s="610" t="s">
        <v>379</v>
      </c>
      <c r="G4601" s="614">
        <v>0</v>
      </c>
      <c r="H4601" s="611"/>
    </row>
    <row r="4602" spans="1:8" ht="15.75">
      <c r="A4602" s="608" t="s">
        <v>380</v>
      </c>
      <c r="B4602" s="613" t="s">
        <v>646</v>
      </c>
      <c r="C4602" s="610" t="s">
        <v>865</v>
      </c>
      <c r="D4602" s="610" t="s">
        <v>769</v>
      </c>
      <c r="E4602" s="610" t="s">
        <v>379</v>
      </c>
      <c r="F4602" s="610" t="s">
        <v>379</v>
      </c>
      <c r="G4602" s="614">
        <v>0</v>
      </c>
      <c r="H4602" s="611"/>
    </row>
    <row r="4603" spans="1:8" ht="15.75">
      <c r="A4603" s="608" t="s">
        <v>649</v>
      </c>
      <c r="B4603" s="613" t="s">
        <v>650</v>
      </c>
      <c r="C4603" s="610" t="s">
        <v>769</v>
      </c>
      <c r="D4603" s="610" t="s">
        <v>866</v>
      </c>
      <c r="E4603" s="610" t="s">
        <v>379</v>
      </c>
      <c r="F4603" s="610" t="s">
        <v>379</v>
      </c>
      <c r="G4603" s="614">
        <v>0</v>
      </c>
      <c r="H4603" s="611"/>
    </row>
    <row r="4604" spans="1:8" ht="15.75">
      <c r="A4604" s="608" t="s">
        <v>653</v>
      </c>
      <c r="B4604" s="613" t="s">
        <v>654</v>
      </c>
      <c r="C4604" s="610" t="s">
        <v>866</v>
      </c>
      <c r="D4604" s="610" t="s">
        <v>667</v>
      </c>
      <c r="E4604" s="610" t="s">
        <v>379</v>
      </c>
      <c r="F4604" s="610" t="s">
        <v>379</v>
      </c>
      <c r="G4604" s="614">
        <v>0</v>
      </c>
      <c r="H4604" s="611"/>
    </row>
    <row r="4605" spans="1:8" ht="12.75" customHeight="1">
      <c r="A4605" s="608">
        <v>4</v>
      </c>
      <c r="B4605" s="706" t="s">
        <v>656</v>
      </c>
      <c r="C4605" s="706"/>
      <c r="D4605" s="706"/>
      <c r="E4605" s="706"/>
      <c r="F4605" s="706"/>
      <c r="G4605" s="706"/>
      <c r="H4605" s="706"/>
    </row>
    <row r="4606" spans="1:8" ht="31.5">
      <c r="A4606" s="608" t="s">
        <v>657</v>
      </c>
      <c r="B4606" s="612" t="s">
        <v>658</v>
      </c>
      <c r="C4606" s="610" t="s">
        <v>379</v>
      </c>
      <c r="D4606" s="610" t="s">
        <v>379</v>
      </c>
      <c r="E4606" s="610" t="s">
        <v>379</v>
      </c>
      <c r="F4606" s="610" t="s">
        <v>379</v>
      </c>
      <c r="G4606" s="610" t="s">
        <v>379</v>
      </c>
      <c r="H4606" s="611" t="s">
        <v>626</v>
      </c>
    </row>
    <row r="4607" spans="1:8" ht="47.25">
      <c r="A4607" s="608" t="s">
        <v>659</v>
      </c>
      <c r="B4607" s="612" t="s">
        <v>660</v>
      </c>
      <c r="C4607" s="610" t="s">
        <v>379</v>
      </c>
      <c r="D4607" s="610" t="s">
        <v>379</v>
      </c>
      <c r="E4607" s="610" t="s">
        <v>379</v>
      </c>
      <c r="F4607" s="610" t="s">
        <v>379</v>
      </c>
      <c r="G4607" s="610" t="s">
        <v>379</v>
      </c>
      <c r="H4607" s="611" t="s">
        <v>626</v>
      </c>
    </row>
    <row r="4608" spans="1:8" ht="31.5">
      <c r="A4608" s="608" t="s">
        <v>661</v>
      </c>
      <c r="B4608" s="613" t="s">
        <v>662</v>
      </c>
      <c r="C4608" s="610" t="s">
        <v>379</v>
      </c>
      <c r="D4608" s="610" t="s">
        <v>379</v>
      </c>
      <c r="E4608" s="610" t="s">
        <v>379</v>
      </c>
      <c r="F4608" s="610" t="s">
        <v>379</v>
      </c>
      <c r="G4608" s="610" t="s">
        <v>379</v>
      </c>
      <c r="H4608" s="611" t="s">
        <v>626</v>
      </c>
    </row>
    <row r="4609" spans="1:8" ht="31.5">
      <c r="A4609" s="615" t="s">
        <v>663</v>
      </c>
      <c r="B4609" s="616" t="s">
        <v>664</v>
      </c>
      <c r="C4609" s="617" t="s">
        <v>379</v>
      </c>
      <c r="D4609" s="617" t="s">
        <v>379</v>
      </c>
      <c r="E4609" s="617" t="s">
        <v>379</v>
      </c>
      <c r="F4609" s="617" t="s">
        <v>379</v>
      </c>
      <c r="G4609" s="617" t="s">
        <v>379</v>
      </c>
      <c r="H4609" s="618" t="s">
        <v>626</v>
      </c>
    </row>
    <row r="4610" spans="1:8" ht="15.75">
      <c r="A4610" s="619"/>
      <c r="B4610" s="620"/>
      <c r="C4610" s="621"/>
      <c r="D4610" s="621"/>
      <c r="E4610" s="621"/>
      <c r="F4610" s="621"/>
      <c r="G4610" s="621"/>
      <c r="H4610" s="148"/>
    </row>
    <row r="4611" spans="1:8" ht="12.75" customHeight="1">
      <c r="A4611" s="707" t="s">
        <v>665</v>
      </c>
      <c r="B4611" s="707"/>
      <c r="C4611" s="707"/>
      <c r="D4611" s="707"/>
      <c r="E4611" s="707"/>
      <c r="F4611" s="707"/>
      <c r="G4611" s="707"/>
      <c r="H4611" s="707"/>
    </row>
    <row r="4612" spans="1:8" ht="15.75">
      <c r="A4612" s="622"/>
      <c r="B4612" s="622"/>
      <c r="C4612" s="622"/>
      <c r="D4612" s="622"/>
      <c r="E4612" s="622"/>
      <c r="F4612" s="622"/>
      <c r="G4612" s="622"/>
      <c r="H4612" s="622"/>
    </row>
    <row r="4613" spans="1:8" ht="15.75">
      <c r="A4613" s="622"/>
      <c r="B4613" s="622"/>
      <c r="C4613" s="622"/>
      <c r="D4613" s="622"/>
      <c r="E4613" s="622"/>
      <c r="F4613" s="622"/>
      <c r="G4613" s="622"/>
      <c r="H4613" s="622"/>
    </row>
    <row r="4614" ht="15.75">
      <c r="H4614" s="11" t="s">
        <v>609</v>
      </c>
    </row>
    <row r="4615" ht="15.75">
      <c r="H4615" s="11" t="s">
        <v>610</v>
      </c>
    </row>
    <row r="4616" ht="15.75">
      <c r="H4616" s="11" t="s">
        <v>611</v>
      </c>
    </row>
    <row r="4617" ht="15.75">
      <c r="H4617" s="11"/>
    </row>
    <row r="4618" spans="1:8" ht="12.75" customHeight="1">
      <c r="A4618" s="713" t="s">
        <v>612</v>
      </c>
      <c r="B4618" s="713"/>
      <c r="C4618" s="713"/>
      <c r="D4618" s="713"/>
      <c r="E4618" s="713"/>
      <c r="F4618" s="713"/>
      <c r="G4618" s="713"/>
      <c r="H4618" s="713"/>
    </row>
    <row r="4619" spans="1:8" ht="12.75" customHeight="1">
      <c r="A4619" s="713" t="s">
        <v>613</v>
      </c>
      <c r="B4619" s="713"/>
      <c r="C4619" s="713"/>
      <c r="D4619" s="713"/>
      <c r="E4619" s="713"/>
      <c r="F4619" s="713"/>
      <c r="G4619" s="713"/>
      <c r="H4619" s="713"/>
    </row>
    <row r="4620" ht="15.75">
      <c r="H4620" s="11" t="s">
        <v>43</v>
      </c>
    </row>
    <row r="4621" ht="15.75">
      <c r="H4621" s="11" t="s">
        <v>44</v>
      </c>
    </row>
    <row r="4622" ht="15.75">
      <c r="H4622" s="11" t="s">
        <v>45</v>
      </c>
    </row>
    <row r="4623" ht="15.75">
      <c r="H4623" s="594" t="s">
        <v>614</v>
      </c>
    </row>
    <row r="4624" ht="15.75">
      <c r="H4624" s="11" t="s">
        <v>615</v>
      </c>
    </row>
    <row r="4625" ht="15.75">
      <c r="H4625" s="11" t="s">
        <v>47</v>
      </c>
    </row>
    <row r="4626" ht="15.75">
      <c r="A4626" s="595"/>
    </row>
    <row r="4627" ht="15.75">
      <c r="A4627" s="3" t="s">
        <v>868</v>
      </c>
    </row>
    <row r="4628" spans="1:8" ht="12.75" customHeight="1">
      <c r="A4628" s="717" t="s">
        <v>0</v>
      </c>
      <c r="B4628" s="714"/>
      <c r="C4628" s="714"/>
      <c r="D4628" s="714"/>
      <c r="E4628" s="714"/>
      <c r="F4628" s="714"/>
      <c r="G4628" s="714"/>
      <c r="H4628" s="714"/>
    </row>
    <row r="4629" spans="1:8" ht="16.5" thickBot="1">
      <c r="A4629" s="597"/>
      <c r="B4629" s="597"/>
      <c r="C4629" s="598"/>
      <c r="D4629" s="598"/>
      <c r="E4629" s="598"/>
      <c r="F4629" s="598"/>
      <c r="G4629" s="598"/>
      <c r="H4629" s="598"/>
    </row>
    <row r="4630" spans="1:8" ht="12.75" customHeight="1">
      <c r="A4630" s="708" t="s">
        <v>617</v>
      </c>
      <c r="B4630" s="710" t="s">
        <v>618</v>
      </c>
      <c r="C4630" s="711" t="s">
        <v>619</v>
      </c>
      <c r="D4630" s="711"/>
      <c r="E4630" s="711"/>
      <c r="F4630" s="711"/>
      <c r="G4630" s="712" t="s">
        <v>620</v>
      </c>
      <c r="H4630" s="708" t="s">
        <v>621</v>
      </c>
    </row>
    <row r="4631" spans="1:8" ht="15.75">
      <c r="A4631" s="708"/>
      <c r="B4631" s="710"/>
      <c r="C4631" s="711"/>
      <c r="D4631" s="711"/>
      <c r="E4631" s="711"/>
      <c r="F4631" s="711"/>
      <c r="G4631" s="712"/>
      <c r="H4631" s="708"/>
    </row>
    <row r="4632" spans="1:8" ht="31.5">
      <c r="A4632" s="708"/>
      <c r="B4632" s="710"/>
      <c r="C4632" s="601" t="s">
        <v>622</v>
      </c>
      <c r="D4632" s="601" t="s">
        <v>623</v>
      </c>
      <c r="E4632" s="602" t="s">
        <v>622</v>
      </c>
      <c r="F4632" s="603" t="s">
        <v>623</v>
      </c>
      <c r="G4632" s="712"/>
      <c r="H4632" s="708"/>
    </row>
    <row r="4633" spans="1:8" ht="15.75">
      <c r="A4633" s="599">
        <v>1</v>
      </c>
      <c r="B4633" s="599">
        <v>2</v>
      </c>
      <c r="C4633" s="604">
        <v>3</v>
      </c>
      <c r="D4633" s="604">
        <v>4</v>
      </c>
      <c r="E4633" s="605"/>
      <c r="F4633" s="606"/>
      <c r="G4633" s="600">
        <v>5</v>
      </c>
      <c r="H4633" s="599">
        <v>6</v>
      </c>
    </row>
    <row r="4634" spans="1:8" ht="12.75" customHeight="1">
      <c r="A4634" s="607">
        <v>1</v>
      </c>
      <c r="B4634" s="709" t="s">
        <v>624</v>
      </c>
      <c r="C4634" s="709"/>
      <c r="D4634" s="709"/>
      <c r="E4634" s="709"/>
      <c r="F4634" s="709"/>
      <c r="G4634" s="709"/>
      <c r="H4634" s="709"/>
    </row>
    <row r="4635" spans="1:8" ht="15.75">
      <c r="A4635" s="608" t="s">
        <v>74</v>
      </c>
      <c r="B4635" s="609" t="s">
        <v>625</v>
      </c>
      <c r="C4635" s="610" t="s">
        <v>379</v>
      </c>
      <c r="D4635" s="610" t="s">
        <v>379</v>
      </c>
      <c r="E4635" s="610" t="s">
        <v>379</v>
      </c>
      <c r="F4635" s="610" t="s">
        <v>379</v>
      </c>
      <c r="G4635" s="610" t="s">
        <v>379</v>
      </c>
      <c r="H4635" s="611" t="s">
        <v>626</v>
      </c>
    </row>
    <row r="4636" spans="1:8" ht="15.75">
      <c r="A4636" s="608" t="s">
        <v>313</v>
      </c>
      <c r="B4636" s="609" t="s">
        <v>627</v>
      </c>
      <c r="C4636" s="610" t="s">
        <v>379</v>
      </c>
      <c r="D4636" s="610" t="s">
        <v>379</v>
      </c>
      <c r="E4636" s="610" t="s">
        <v>379</v>
      </c>
      <c r="F4636" s="610" t="s">
        <v>379</v>
      </c>
      <c r="G4636" s="610" t="s">
        <v>379</v>
      </c>
      <c r="H4636" s="611" t="s">
        <v>626</v>
      </c>
    </row>
    <row r="4637" spans="1:8" ht="31.5">
      <c r="A4637" s="608" t="s">
        <v>315</v>
      </c>
      <c r="B4637" s="612" t="s">
        <v>628</v>
      </c>
      <c r="C4637" s="610" t="s">
        <v>379</v>
      </c>
      <c r="D4637" s="610" t="s">
        <v>379</v>
      </c>
      <c r="E4637" s="610" t="s">
        <v>379</v>
      </c>
      <c r="F4637" s="610" t="s">
        <v>379</v>
      </c>
      <c r="G4637" s="610" t="s">
        <v>379</v>
      </c>
      <c r="H4637" s="611" t="s">
        <v>626</v>
      </c>
    </row>
    <row r="4638" spans="1:8" ht="47.25">
      <c r="A4638" s="608" t="s">
        <v>317</v>
      </c>
      <c r="B4638" s="612" t="s">
        <v>629</v>
      </c>
      <c r="C4638" s="610" t="s">
        <v>379</v>
      </c>
      <c r="D4638" s="610" t="s">
        <v>379</v>
      </c>
      <c r="E4638" s="610" t="s">
        <v>379</v>
      </c>
      <c r="F4638" s="610" t="s">
        <v>379</v>
      </c>
      <c r="G4638" s="610" t="s">
        <v>379</v>
      </c>
      <c r="H4638" s="611" t="s">
        <v>626</v>
      </c>
    </row>
    <row r="4639" spans="1:8" ht="15.75">
      <c r="A4639" s="608" t="s">
        <v>630</v>
      </c>
      <c r="B4639" s="613" t="s">
        <v>631</v>
      </c>
      <c r="C4639" s="610" t="s">
        <v>379</v>
      </c>
      <c r="D4639" s="610" t="s">
        <v>379</v>
      </c>
      <c r="E4639" s="610" t="s">
        <v>379</v>
      </c>
      <c r="F4639" s="610" t="s">
        <v>379</v>
      </c>
      <c r="G4639" s="610" t="s">
        <v>379</v>
      </c>
      <c r="H4639" s="611" t="s">
        <v>626</v>
      </c>
    </row>
    <row r="4640" spans="1:8" ht="15.75">
      <c r="A4640" s="608" t="s">
        <v>632</v>
      </c>
      <c r="B4640" s="613" t="s">
        <v>633</v>
      </c>
      <c r="C4640" s="610" t="s">
        <v>379</v>
      </c>
      <c r="D4640" s="610" t="s">
        <v>379</v>
      </c>
      <c r="E4640" s="610" t="s">
        <v>379</v>
      </c>
      <c r="F4640" s="610" t="s">
        <v>379</v>
      </c>
      <c r="G4640" s="610" t="s">
        <v>379</v>
      </c>
      <c r="H4640" s="611" t="s">
        <v>626</v>
      </c>
    </row>
    <row r="4641" spans="1:8" ht="12.75" customHeight="1">
      <c r="A4641" s="608">
        <v>2</v>
      </c>
      <c r="B4641" s="706" t="s">
        <v>634</v>
      </c>
      <c r="C4641" s="706"/>
      <c r="D4641" s="706"/>
      <c r="E4641" s="706"/>
      <c r="F4641" s="706"/>
      <c r="G4641" s="706"/>
      <c r="H4641" s="706"/>
    </row>
    <row r="4642" spans="1:8" ht="31.5">
      <c r="A4642" s="608" t="s">
        <v>321</v>
      </c>
      <c r="B4642" s="612" t="s">
        <v>635</v>
      </c>
      <c r="C4642" s="610" t="s">
        <v>864</v>
      </c>
      <c r="D4642" s="610" t="s">
        <v>667</v>
      </c>
      <c r="E4642" s="610" t="s">
        <v>379</v>
      </c>
      <c r="F4642" s="610" t="s">
        <v>379</v>
      </c>
      <c r="G4642" s="614">
        <v>0</v>
      </c>
      <c r="H4642" s="611"/>
    </row>
    <row r="4643" spans="1:8" ht="47.25">
      <c r="A4643" s="608" t="s">
        <v>325</v>
      </c>
      <c r="B4643" s="612" t="s">
        <v>638</v>
      </c>
      <c r="C4643" s="610" t="s">
        <v>379</v>
      </c>
      <c r="D4643" s="610" t="s">
        <v>379</v>
      </c>
      <c r="E4643" s="610" t="s">
        <v>379</v>
      </c>
      <c r="F4643" s="610" t="s">
        <v>379</v>
      </c>
      <c r="G4643" s="610" t="s">
        <v>379</v>
      </c>
      <c r="H4643" s="611" t="s">
        <v>626</v>
      </c>
    </row>
    <row r="4644" spans="1:8" ht="31.5">
      <c r="A4644" s="608" t="s">
        <v>639</v>
      </c>
      <c r="B4644" s="612" t="s">
        <v>640</v>
      </c>
      <c r="C4644" s="610" t="s">
        <v>379</v>
      </c>
      <c r="D4644" s="610" t="s">
        <v>379</v>
      </c>
      <c r="E4644" s="610" t="s">
        <v>379</v>
      </c>
      <c r="F4644" s="610" t="s">
        <v>379</v>
      </c>
      <c r="G4644" s="610" t="s">
        <v>379</v>
      </c>
      <c r="H4644" s="611" t="s">
        <v>626</v>
      </c>
    </row>
    <row r="4645" spans="1:8" ht="12.75" customHeight="1">
      <c r="A4645" s="608">
        <v>3</v>
      </c>
      <c r="B4645" s="706" t="s">
        <v>641</v>
      </c>
      <c r="C4645" s="706"/>
      <c r="D4645" s="706"/>
      <c r="E4645" s="706"/>
      <c r="F4645" s="706"/>
      <c r="G4645" s="706"/>
      <c r="H4645" s="706"/>
    </row>
    <row r="4646" spans="1:8" ht="31.5">
      <c r="A4646" s="608" t="s">
        <v>378</v>
      </c>
      <c r="B4646" s="613" t="s">
        <v>642</v>
      </c>
      <c r="C4646" s="610" t="s">
        <v>379</v>
      </c>
      <c r="D4646" s="610" t="s">
        <v>379</v>
      </c>
      <c r="E4646" s="610" t="s">
        <v>379</v>
      </c>
      <c r="F4646" s="610" t="s">
        <v>379</v>
      </c>
      <c r="G4646" s="610" t="s">
        <v>379</v>
      </c>
      <c r="H4646" s="611" t="s">
        <v>626</v>
      </c>
    </row>
    <row r="4647" spans="1:8" ht="15.75">
      <c r="A4647" s="608" t="s">
        <v>643</v>
      </c>
      <c r="B4647" s="613" t="s">
        <v>644</v>
      </c>
      <c r="C4647" s="610" t="s">
        <v>864</v>
      </c>
      <c r="D4647" s="610" t="s">
        <v>865</v>
      </c>
      <c r="E4647" s="610" t="s">
        <v>379</v>
      </c>
      <c r="F4647" s="610" t="s">
        <v>379</v>
      </c>
      <c r="G4647" s="614">
        <v>0</v>
      </c>
      <c r="H4647" s="611"/>
    </row>
    <row r="4648" spans="1:8" ht="15.75">
      <c r="A4648" s="608" t="s">
        <v>380</v>
      </c>
      <c r="B4648" s="613" t="s">
        <v>646</v>
      </c>
      <c r="C4648" s="610" t="s">
        <v>865</v>
      </c>
      <c r="D4648" s="610" t="s">
        <v>769</v>
      </c>
      <c r="E4648" s="610" t="s">
        <v>379</v>
      </c>
      <c r="F4648" s="610" t="s">
        <v>379</v>
      </c>
      <c r="G4648" s="614">
        <v>0</v>
      </c>
      <c r="H4648" s="611"/>
    </row>
    <row r="4649" spans="1:8" ht="15.75">
      <c r="A4649" s="608" t="s">
        <v>649</v>
      </c>
      <c r="B4649" s="613" t="s">
        <v>650</v>
      </c>
      <c r="C4649" s="610" t="s">
        <v>769</v>
      </c>
      <c r="D4649" s="610" t="s">
        <v>866</v>
      </c>
      <c r="E4649" s="610" t="s">
        <v>379</v>
      </c>
      <c r="F4649" s="610" t="s">
        <v>379</v>
      </c>
      <c r="G4649" s="614">
        <v>0</v>
      </c>
      <c r="H4649" s="611"/>
    </row>
    <row r="4650" spans="1:8" ht="15.75">
      <c r="A4650" s="608" t="s">
        <v>653</v>
      </c>
      <c r="B4650" s="613" t="s">
        <v>654</v>
      </c>
      <c r="C4650" s="610" t="s">
        <v>866</v>
      </c>
      <c r="D4650" s="610" t="s">
        <v>667</v>
      </c>
      <c r="E4650" s="610" t="s">
        <v>379</v>
      </c>
      <c r="F4650" s="610" t="s">
        <v>379</v>
      </c>
      <c r="G4650" s="614">
        <v>0</v>
      </c>
      <c r="H4650" s="611"/>
    </row>
    <row r="4651" spans="1:8" ht="12.75" customHeight="1">
      <c r="A4651" s="608">
        <v>4</v>
      </c>
      <c r="B4651" s="706" t="s">
        <v>656</v>
      </c>
      <c r="C4651" s="706"/>
      <c r="D4651" s="706"/>
      <c r="E4651" s="706"/>
      <c r="F4651" s="706"/>
      <c r="G4651" s="706"/>
      <c r="H4651" s="706"/>
    </row>
    <row r="4652" spans="1:8" ht="31.5">
      <c r="A4652" s="608" t="s">
        <v>657</v>
      </c>
      <c r="B4652" s="612" t="s">
        <v>658</v>
      </c>
      <c r="C4652" s="610" t="s">
        <v>379</v>
      </c>
      <c r="D4652" s="610" t="s">
        <v>379</v>
      </c>
      <c r="E4652" s="610" t="s">
        <v>379</v>
      </c>
      <c r="F4652" s="610" t="s">
        <v>379</v>
      </c>
      <c r="G4652" s="610" t="s">
        <v>379</v>
      </c>
      <c r="H4652" s="611" t="s">
        <v>626</v>
      </c>
    </row>
    <row r="4653" spans="1:8" ht="47.25">
      <c r="A4653" s="608" t="s">
        <v>659</v>
      </c>
      <c r="B4653" s="612" t="s">
        <v>660</v>
      </c>
      <c r="C4653" s="610" t="s">
        <v>379</v>
      </c>
      <c r="D4653" s="610" t="s">
        <v>379</v>
      </c>
      <c r="E4653" s="610" t="s">
        <v>379</v>
      </c>
      <c r="F4653" s="610" t="s">
        <v>379</v>
      </c>
      <c r="G4653" s="610" t="s">
        <v>379</v>
      </c>
      <c r="H4653" s="611" t="s">
        <v>626</v>
      </c>
    </row>
    <row r="4654" spans="1:8" ht="31.5">
      <c r="A4654" s="608" t="s">
        <v>661</v>
      </c>
      <c r="B4654" s="613" t="s">
        <v>662</v>
      </c>
      <c r="C4654" s="610" t="s">
        <v>379</v>
      </c>
      <c r="D4654" s="610" t="s">
        <v>379</v>
      </c>
      <c r="E4654" s="610" t="s">
        <v>379</v>
      </c>
      <c r="F4654" s="610" t="s">
        <v>379</v>
      </c>
      <c r="G4654" s="610" t="s">
        <v>379</v>
      </c>
      <c r="H4654" s="611" t="s">
        <v>626</v>
      </c>
    </row>
    <row r="4655" spans="1:8" ht="31.5">
      <c r="A4655" s="615" t="s">
        <v>663</v>
      </c>
      <c r="B4655" s="616" t="s">
        <v>664</v>
      </c>
      <c r="C4655" s="617" t="s">
        <v>379</v>
      </c>
      <c r="D4655" s="617" t="s">
        <v>379</v>
      </c>
      <c r="E4655" s="617" t="s">
        <v>379</v>
      </c>
      <c r="F4655" s="617" t="s">
        <v>379</v>
      </c>
      <c r="G4655" s="617" t="s">
        <v>379</v>
      </c>
      <c r="H4655" s="618" t="s">
        <v>626</v>
      </c>
    </row>
    <row r="4656" spans="1:8" ht="15.75">
      <c r="A4656" s="619"/>
      <c r="B4656" s="620"/>
      <c r="C4656" s="621"/>
      <c r="D4656" s="621"/>
      <c r="E4656" s="621"/>
      <c r="F4656" s="621"/>
      <c r="G4656" s="621"/>
      <c r="H4656" s="148"/>
    </row>
    <row r="4657" spans="1:8" ht="12.75" customHeight="1">
      <c r="A4657" s="707" t="s">
        <v>665</v>
      </c>
      <c r="B4657" s="707"/>
      <c r="C4657" s="707"/>
      <c r="D4657" s="707"/>
      <c r="E4657" s="707"/>
      <c r="F4657" s="707"/>
      <c r="G4657" s="707"/>
      <c r="H4657" s="707"/>
    </row>
    <row r="4658" spans="1:8" ht="15.75">
      <c r="A4658" s="622"/>
      <c r="B4658" s="622"/>
      <c r="C4658" s="622"/>
      <c r="D4658" s="622"/>
      <c r="E4658" s="622"/>
      <c r="F4658" s="622"/>
      <c r="G4658" s="622"/>
      <c r="H4658" s="622"/>
    </row>
    <row r="4659" spans="1:8" ht="15.75">
      <c r="A4659" s="622"/>
      <c r="B4659" s="622"/>
      <c r="C4659" s="622"/>
      <c r="D4659" s="622"/>
      <c r="E4659" s="622"/>
      <c r="F4659" s="622"/>
      <c r="G4659" s="622"/>
      <c r="H4659" s="622"/>
    </row>
    <row r="4660" ht="15.75">
      <c r="H4660" s="11" t="s">
        <v>609</v>
      </c>
    </row>
    <row r="4661" ht="15.75">
      <c r="H4661" s="11" t="s">
        <v>610</v>
      </c>
    </row>
    <row r="4662" ht="15.75">
      <c r="H4662" s="11" t="s">
        <v>611</v>
      </c>
    </row>
    <row r="4663" ht="15.75">
      <c r="H4663" s="11"/>
    </row>
    <row r="4664" spans="1:8" ht="12.75" customHeight="1">
      <c r="A4664" s="713" t="s">
        <v>612</v>
      </c>
      <c r="B4664" s="713"/>
      <c r="C4664" s="713"/>
      <c r="D4664" s="713"/>
      <c r="E4664" s="713"/>
      <c r="F4664" s="713"/>
      <c r="G4664" s="713"/>
      <c r="H4664" s="713"/>
    </row>
    <row r="4665" spans="1:8" ht="12.75" customHeight="1">
      <c r="A4665" s="713" t="s">
        <v>613</v>
      </c>
      <c r="B4665" s="713"/>
      <c r="C4665" s="713"/>
      <c r="D4665" s="713"/>
      <c r="E4665" s="713"/>
      <c r="F4665" s="713"/>
      <c r="G4665" s="713"/>
      <c r="H4665" s="713"/>
    </row>
    <row r="4666" ht="15.75">
      <c r="H4666" s="11" t="s">
        <v>43</v>
      </c>
    </row>
    <row r="4667" ht="15.75">
      <c r="H4667" s="11" t="s">
        <v>44</v>
      </c>
    </row>
    <row r="4668" ht="15.75">
      <c r="H4668" s="11" t="s">
        <v>45</v>
      </c>
    </row>
    <row r="4669" ht="15.75">
      <c r="H4669" s="594" t="s">
        <v>614</v>
      </c>
    </row>
    <row r="4670" ht="15.75">
      <c r="H4670" s="11" t="s">
        <v>615</v>
      </c>
    </row>
    <row r="4671" ht="15.75">
      <c r="H4671" s="11" t="s">
        <v>47</v>
      </c>
    </row>
    <row r="4672" ht="15.75">
      <c r="A4672" s="595"/>
    </row>
    <row r="4673" ht="15.75">
      <c r="A4673" s="3" t="s">
        <v>869</v>
      </c>
    </row>
    <row r="4674" spans="1:8" ht="12.75" customHeight="1">
      <c r="A4674" s="717" t="s">
        <v>0</v>
      </c>
      <c r="B4674" s="714"/>
      <c r="C4674" s="714"/>
      <c r="D4674" s="714"/>
      <c r="E4674" s="714"/>
      <c r="F4674" s="714"/>
      <c r="G4674" s="714"/>
      <c r="H4674" s="714"/>
    </row>
    <row r="4675" spans="1:8" ht="16.5" thickBot="1">
      <c r="A4675" s="597"/>
      <c r="B4675" s="597"/>
      <c r="C4675" s="598"/>
      <c r="D4675" s="598"/>
      <c r="E4675" s="598"/>
      <c r="F4675" s="598"/>
      <c r="G4675" s="598"/>
      <c r="H4675" s="598"/>
    </row>
    <row r="4676" spans="1:8" ht="12.75" customHeight="1">
      <c r="A4676" s="708" t="s">
        <v>617</v>
      </c>
      <c r="B4676" s="710" t="s">
        <v>618</v>
      </c>
      <c r="C4676" s="711" t="s">
        <v>619</v>
      </c>
      <c r="D4676" s="711"/>
      <c r="E4676" s="711"/>
      <c r="F4676" s="711"/>
      <c r="G4676" s="712" t="s">
        <v>620</v>
      </c>
      <c r="H4676" s="708" t="s">
        <v>621</v>
      </c>
    </row>
    <row r="4677" spans="1:8" ht="15.75">
      <c r="A4677" s="708"/>
      <c r="B4677" s="710"/>
      <c r="C4677" s="711"/>
      <c r="D4677" s="711"/>
      <c r="E4677" s="711"/>
      <c r="F4677" s="711"/>
      <c r="G4677" s="712"/>
      <c r="H4677" s="708"/>
    </row>
    <row r="4678" spans="1:8" ht="31.5">
      <c r="A4678" s="708"/>
      <c r="B4678" s="710"/>
      <c r="C4678" s="601" t="s">
        <v>622</v>
      </c>
      <c r="D4678" s="601" t="s">
        <v>623</v>
      </c>
      <c r="E4678" s="602" t="s">
        <v>622</v>
      </c>
      <c r="F4678" s="603" t="s">
        <v>623</v>
      </c>
      <c r="G4678" s="712"/>
      <c r="H4678" s="708"/>
    </row>
    <row r="4679" spans="1:8" ht="15.75">
      <c r="A4679" s="599">
        <v>1</v>
      </c>
      <c r="B4679" s="599">
        <v>2</v>
      </c>
      <c r="C4679" s="604">
        <v>3</v>
      </c>
      <c r="D4679" s="604">
        <v>4</v>
      </c>
      <c r="E4679" s="605"/>
      <c r="F4679" s="606"/>
      <c r="G4679" s="600">
        <v>5</v>
      </c>
      <c r="H4679" s="599">
        <v>6</v>
      </c>
    </row>
    <row r="4680" spans="1:8" ht="12.75" customHeight="1">
      <c r="A4680" s="607">
        <v>1</v>
      </c>
      <c r="B4680" s="709" t="s">
        <v>624</v>
      </c>
      <c r="C4680" s="709"/>
      <c r="D4680" s="709"/>
      <c r="E4680" s="709"/>
      <c r="F4680" s="709"/>
      <c r="G4680" s="709"/>
      <c r="H4680" s="709"/>
    </row>
    <row r="4681" spans="1:8" ht="15.75">
      <c r="A4681" s="608" t="s">
        <v>74</v>
      </c>
      <c r="B4681" s="609" t="s">
        <v>625</v>
      </c>
      <c r="C4681" s="610" t="s">
        <v>379</v>
      </c>
      <c r="D4681" s="610" t="s">
        <v>379</v>
      </c>
      <c r="E4681" s="610" t="s">
        <v>379</v>
      </c>
      <c r="F4681" s="610" t="s">
        <v>379</v>
      </c>
      <c r="G4681" s="610" t="s">
        <v>379</v>
      </c>
      <c r="H4681" s="611" t="s">
        <v>626</v>
      </c>
    </row>
    <row r="4682" spans="1:8" ht="15.75">
      <c r="A4682" s="608" t="s">
        <v>313</v>
      </c>
      <c r="B4682" s="609" t="s">
        <v>627</v>
      </c>
      <c r="C4682" s="610" t="s">
        <v>379</v>
      </c>
      <c r="D4682" s="610" t="s">
        <v>379</v>
      </c>
      <c r="E4682" s="610" t="s">
        <v>379</v>
      </c>
      <c r="F4682" s="610" t="s">
        <v>379</v>
      </c>
      <c r="G4682" s="610" t="s">
        <v>379</v>
      </c>
      <c r="H4682" s="611" t="s">
        <v>626</v>
      </c>
    </row>
    <row r="4683" spans="1:8" ht="31.5">
      <c r="A4683" s="608" t="s">
        <v>315</v>
      </c>
      <c r="B4683" s="612" t="s">
        <v>628</v>
      </c>
      <c r="C4683" s="610" t="s">
        <v>379</v>
      </c>
      <c r="D4683" s="610" t="s">
        <v>379</v>
      </c>
      <c r="E4683" s="610" t="s">
        <v>379</v>
      </c>
      <c r="F4683" s="610" t="s">
        <v>379</v>
      </c>
      <c r="G4683" s="610" t="s">
        <v>379</v>
      </c>
      <c r="H4683" s="611" t="s">
        <v>626</v>
      </c>
    </row>
    <row r="4684" spans="1:8" ht="47.25">
      <c r="A4684" s="608" t="s">
        <v>317</v>
      </c>
      <c r="B4684" s="612" t="s">
        <v>629</v>
      </c>
      <c r="C4684" s="610" t="s">
        <v>379</v>
      </c>
      <c r="D4684" s="610" t="s">
        <v>379</v>
      </c>
      <c r="E4684" s="610" t="s">
        <v>379</v>
      </c>
      <c r="F4684" s="610" t="s">
        <v>379</v>
      </c>
      <c r="G4684" s="610" t="s">
        <v>379</v>
      </c>
      <c r="H4684" s="611" t="s">
        <v>626</v>
      </c>
    </row>
    <row r="4685" spans="1:8" ht="15.75">
      <c r="A4685" s="608" t="s">
        <v>630</v>
      </c>
      <c r="B4685" s="613" t="s">
        <v>631</v>
      </c>
      <c r="C4685" s="610" t="s">
        <v>379</v>
      </c>
      <c r="D4685" s="610" t="s">
        <v>379</v>
      </c>
      <c r="E4685" s="610" t="s">
        <v>379</v>
      </c>
      <c r="F4685" s="610" t="s">
        <v>379</v>
      </c>
      <c r="G4685" s="610" t="s">
        <v>379</v>
      </c>
      <c r="H4685" s="611" t="s">
        <v>626</v>
      </c>
    </row>
    <row r="4686" spans="1:8" ht="15.75">
      <c r="A4686" s="608" t="s">
        <v>632</v>
      </c>
      <c r="B4686" s="613" t="s">
        <v>633</v>
      </c>
      <c r="C4686" s="610" t="s">
        <v>379</v>
      </c>
      <c r="D4686" s="610" t="s">
        <v>379</v>
      </c>
      <c r="E4686" s="610" t="s">
        <v>379</v>
      </c>
      <c r="F4686" s="610" t="s">
        <v>379</v>
      </c>
      <c r="G4686" s="610" t="s">
        <v>379</v>
      </c>
      <c r="H4686" s="611" t="s">
        <v>626</v>
      </c>
    </row>
    <row r="4687" spans="1:8" ht="12.75" customHeight="1">
      <c r="A4687" s="608">
        <v>2</v>
      </c>
      <c r="B4687" s="706" t="s">
        <v>634</v>
      </c>
      <c r="C4687" s="706"/>
      <c r="D4687" s="706"/>
      <c r="E4687" s="706"/>
      <c r="F4687" s="706"/>
      <c r="G4687" s="706"/>
      <c r="H4687" s="706"/>
    </row>
    <row r="4688" spans="1:8" ht="31.5">
      <c r="A4688" s="608" t="s">
        <v>321</v>
      </c>
      <c r="B4688" s="612" t="s">
        <v>635</v>
      </c>
      <c r="C4688" s="610" t="s">
        <v>870</v>
      </c>
      <c r="D4688" s="610" t="s">
        <v>871</v>
      </c>
      <c r="E4688" s="610" t="s">
        <v>379</v>
      </c>
      <c r="F4688" s="610" t="s">
        <v>379</v>
      </c>
      <c r="G4688" s="614">
        <v>0</v>
      </c>
      <c r="H4688" s="611"/>
    </row>
    <row r="4689" spans="1:8" ht="47.25">
      <c r="A4689" s="608" t="s">
        <v>325</v>
      </c>
      <c r="B4689" s="612" t="s">
        <v>638</v>
      </c>
      <c r="C4689" s="610" t="s">
        <v>379</v>
      </c>
      <c r="D4689" s="610" t="s">
        <v>379</v>
      </c>
      <c r="E4689" s="610" t="s">
        <v>379</v>
      </c>
      <c r="F4689" s="610" t="s">
        <v>379</v>
      </c>
      <c r="G4689" s="610" t="s">
        <v>379</v>
      </c>
      <c r="H4689" s="611" t="s">
        <v>626</v>
      </c>
    </row>
    <row r="4690" spans="1:8" ht="31.5">
      <c r="A4690" s="608" t="s">
        <v>639</v>
      </c>
      <c r="B4690" s="612" t="s">
        <v>640</v>
      </c>
      <c r="C4690" s="610" t="s">
        <v>379</v>
      </c>
      <c r="D4690" s="610" t="s">
        <v>379</v>
      </c>
      <c r="E4690" s="610" t="s">
        <v>379</v>
      </c>
      <c r="F4690" s="610" t="s">
        <v>379</v>
      </c>
      <c r="G4690" s="610" t="s">
        <v>379</v>
      </c>
      <c r="H4690" s="611" t="s">
        <v>626</v>
      </c>
    </row>
    <row r="4691" spans="1:8" ht="12.75" customHeight="1">
      <c r="A4691" s="608">
        <v>3</v>
      </c>
      <c r="B4691" s="706" t="s">
        <v>641</v>
      </c>
      <c r="C4691" s="706"/>
      <c r="D4691" s="706"/>
      <c r="E4691" s="706"/>
      <c r="F4691" s="706"/>
      <c r="G4691" s="706"/>
      <c r="H4691" s="706"/>
    </row>
    <row r="4692" spans="1:8" ht="31.5">
      <c r="A4692" s="608" t="s">
        <v>378</v>
      </c>
      <c r="B4692" s="613" t="s">
        <v>642</v>
      </c>
      <c r="C4692" s="610" t="s">
        <v>379</v>
      </c>
      <c r="D4692" s="610" t="s">
        <v>379</v>
      </c>
      <c r="E4692" s="610" t="s">
        <v>379</v>
      </c>
      <c r="F4692" s="610" t="s">
        <v>379</v>
      </c>
      <c r="G4692" s="610" t="s">
        <v>379</v>
      </c>
      <c r="H4692" s="611" t="s">
        <v>626</v>
      </c>
    </row>
    <row r="4693" spans="1:8" ht="15.75">
      <c r="A4693" s="608" t="s">
        <v>643</v>
      </c>
      <c r="B4693" s="613" t="s">
        <v>644</v>
      </c>
      <c r="C4693" s="610" t="s">
        <v>872</v>
      </c>
      <c r="D4693" s="610" t="s">
        <v>873</v>
      </c>
      <c r="E4693" s="610" t="s">
        <v>379</v>
      </c>
      <c r="F4693" s="610" t="s">
        <v>379</v>
      </c>
      <c r="G4693" s="614">
        <v>0</v>
      </c>
      <c r="H4693" s="611"/>
    </row>
    <row r="4694" spans="1:8" ht="15.75">
      <c r="A4694" s="608" t="s">
        <v>380</v>
      </c>
      <c r="B4694" s="613" t="s">
        <v>646</v>
      </c>
      <c r="C4694" s="610" t="s">
        <v>874</v>
      </c>
      <c r="D4694" s="610" t="s">
        <v>875</v>
      </c>
      <c r="E4694" s="610" t="s">
        <v>379</v>
      </c>
      <c r="F4694" s="610" t="s">
        <v>379</v>
      </c>
      <c r="G4694" s="614">
        <v>0</v>
      </c>
      <c r="H4694" s="611"/>
    </row>
    <row r="4695" spans="1:8" ht="15.75">
      <c r="A4695" s="608" t="s">
        <v>649</v>
      </c>
      <c r="B4695" s="613" t="s">
        <v>650</v>
      </c>
      <c r="C4695" s="610" t="s">
        <v>817</v>
      </c>
      <c r="D4695" s="610" t="s">
        <v>805</v>
      </c>
      <c r="E4695" s="610" t="s">
        <v>379</v>
      </c>
      <c r="F4695" s="610" t="s">
        <v>379</v>
      </c>
      <c r="G4695" s="614">
        <v>0</v>
      </c>
      <c r="H4695" s="611"/>
    </row>
    <row r="4696" spans="1:8" ht="15.75">
      <c r="A4696" s="608" t="s">
        <v>653</v>
      </c>
      <c r="B4696" s="613" t="s">
        <v>654</v>
      </c>
      <c r="C4696" s="610" t="s">
        <v>806</v>
      </c>
      <c r="D4696" s="610" t="s">
        <v>744</v>
      </c>
      <c r="E4696" s="610" t="s">
        <v>379</v>
      </c>
      <c r="F4696" s="610" t="s">
        <v>379</v>
      </c>
      <c r="G4696" s="614">
        <v>0</v>
      </c>
      <c r="H4696" s="611"/>
    </row>
    <row r="4697" spans="1:8" ht="12.75" customHeight="1">
      <c r="A4697" s="608">
        <v>4</v>
      </c>
      <c r="B4697" s="706" t="s">
        <v>656</v>
      </c>
      <c r="C4697" s="706"/>
      <c r="D4697" s="706"/>
      <c r="E4697" s="706"/>
      <c r="F4697" s="706"/>
      <c r="G4697" s="706"/>
      <c r="H4697" s="706"/>
    </row>
    <row r="4698" spans="1:8" ht="31.5">
      <c r="A4698" s="608" t="s">
        <v>657</v>
      </c>
      <c r="B4698" s="612" t="s">
        <v>658</v>
      </c>
      <c r="C4698" s="610" t="s">
        <v>379</v>
      </c>
      <c r="D4698" s="610" t="s">
        <v>379</v>
      </c>
      <c r="E4698" s="610" t="s">
        <v>379</v>
      </c>
      <c r="F4698" s="610" t="s">
        <v>379</v>
      </c>
      <c r="G4698" s="610" t="s">
        <v>379</v>
      </c>
      <c r="H4698" s="611" t="s">
        <v>626</v>
      </c>
    </row>
    <row r="4699" spans="1:8" ht="47.25">
      <c r="A4699" s="608" t="s">
        <v>659</v>
      </c>
      <c r="B4699" s="612" t="s">
        <v>660</v>
      </c>
      <c r="C4699" s="610" t="s">
        <v>379</v>
      </c>
      <c r="D4699" s="610" t="s">
        <v>379</v>
      </c>
      <c r="E4699" s="610" t="s">
        <v>379</v>
      </c>
      <c r="F4699" s="610" t="s">
        <v>379</v>
      </c>
      <c r="G4699" s="610" t="s">
        <v>379</v>
      </c>
      <c r="H4699" s="611" t="s">
        <v>626</v>
      </c>
    </row>
    <row r="4700" spans="1:8" ht="31.5">
      <c r="A4700" s="608" t="s">
        <v>661</v>
      </c>
      <c r="B4700" s="613" t="s">
        <v>662</v>
      </c>
      <c r="C4700" s="610" t="s">
        <v>379</v>
      </c>
      <c r="D4700" s="610" t="s">
        <v>379</v>
      </c>
      <c r="E4700" s="610" t="s">
        <v>379</v>
      </c>
      <c r="F4700" s="610" t="s">
        <v>379</v>
      </c>
      <c r="G4700" s="610" t="s">
        <v>379</v>
      </c>
      <c r="H4700" s="611" t="s">
        <v>626</v>
      </c>
    </row>
    <row r="4701" spans="1:8" ht="31.5">
      <c r="A4701" s="615" t="s">
        <v>663</v>
      </c>
      <c r="B4701" s="616" t="s">
        <v>664</v>
      </c>
      <c r="C4701" s="617" t="s">
        <v>379</v>
      </c>
      <c r="D4701" s="617" t="s">
        <v>379</v>
      </c>
      <c r="E4701" s="617" t="s">
        <v>379</v>
      </c>
      <c r="F4701" s="617" t="s">
        <v>379</v>
      </c>
      <c r="G4701" s="617" t="s">
        <v>379</v>
      </c>
      <c r="H4701" s="618" t="s">
        <v>626</v>
      </c>
    </row>
    <row r="4702" spans="1:8" ht="15.75">
      <c r="A4702" s="619"/>
      <c r="B4702" s="620"/>
      <c r="C4702" s="621"/>
      <c r="D4702" s="621"/>
      <c r="E4702" s="621"/>
      <c r="F4702" s="621"/>
      <c r="G4702" s="621"/>
      <c r="H4702" s="148"/>
    </row>
    <row r="4703" spans="1:8" ht="12.75" customHeight="1">
      <c r="A4703" s="707" t="s">
        <v>665</v>
      </c>
      <c r="B4703" s="707"/>
      <c r="C4703" s="707"/>
      <c r="D4703" s="707"/>
      <c r="E4703" s="707"/>
      <c r="F4703" s="707"/>
      <c r="G4703" s="707"/>
      <c r="H4703" s="707"/>
    </row>
    <row r="4704" spans="1:8" ht="15.75">
      <c r="A4704" s="622"/>
      <c r="B4704" s="622"/>
      <c r="C4704" s="622"/>
      <c r="D4704" s="622"/>
      <c r="E4704" s="622"/>
      <c r="F4704" s="622"/>
      <c r="G4704" s="622"/>
      <c r="H4704" s="622"/>
    </row>
    <row r="4705" spans="1:8" ht="15.75">
      <c r="A4705" s="622"/>
      <c r="B4705" s="622"/>
      <c r="C4705" s="622"/>
      <c r="D4705" s="622"/>
      <c r="E4705" s="622"/>
      <c r="F4705" s="622"/>
      <c r="G4705" s="622"/>
      <c r="H4705" s="622"/>
    </row>
    <row r="4706" ht="15.75">
      <c r="H4706" s="11" t="s">
        <v>609</v>
      </c>
    </row>
    <row r="4707" ht="15.75">
      <c r="H4707" s="11" t="s">
        <v>610</v>
      </c>
    </row>
    <row r="4708" ht="15.75">
      <c r="H4708" s="11" t="s">
        <v>611</v>
      </c>
    </row>
    <row r="4709" ht="15.75">
      <c r="H4709" s="11"/>
    </row>
    <row r="4710" spans="1:8" ht="12.75" customHeight="1">
      <c r="A4710" s="713" t="s">
        <v>612</v>
      </c>
      <c r="B4710" s="713"/>
      <c r="C4710" s="713"/>
      <c r="D4710" s="713"/>
      <c r="E4710" s="713"/>
      <c r="F4710" s="713"/>
      <c r="G4710" s="713"/>
      <c r="H4710" s="713"/>
    </row>
    <row r="4711" spans="1:8" ht="12.75" customHeight="1">
      <c r="A4711" s="713" t="s">
        <v>613</v>
      </c>
      <c r="B4711" s="713"/>
      <c r="C4711" s="713"/>
      <c r="D4711" s="713"/>
      <c r="E4711" s="713"/>
      <c r="F4711" s="713"/>
      <c r="G4711" s="713"/>
      <c r="H4711" s="713"/>
    </row>
    <row r="4712" ht="15.75">
      <c r="H4712" s="11" t="s">
        <v>43</v>
      </c>
    </row>
    <row r="4713" ht="15.75">
      <c r="H4713" s="11" t="s">
        <v>44</v>
      </c>
    </row>
    <row r="4714" ht="15.75">
      <c r="H4714" s="11" t="s">
        <v>45</v>
      </c>
    </row>
    <row r="4715" ht="15.75">
      <c r="H4715" s="594" t="s">
        <v>614</v>
      </c>
    </row>
    <row r="4716" ht="15.75">
      <c r="H4716" s="11" t="s">
        <v>615</v>
      </c>
    </row>
    <row r="4717" ht="15.75">
      <c r="H4717" s="11" t="s">
        <v>47</v>
      </c>
    </row>
    <row r="4718" ht="15.75">
      <c r="A4718" s="595"/>
    </row>
    <row r="4719" ht="15.75">
      <c r="A4719" s="3" t="s">
        <v>876</v>
      </c>
    </row>
    <row r="4720" spans="1:8" ht="12.75" customHeight="1">
      <c r="A4720" s="717" t="s">
        <v>0</v>
      </c>
      <c r="B4720" s="714"/>
      <c r="C4720" s="714"/>
      <c r="D4720" s="714"/>
      <c r="E4720" s="714"/>
      <c r="F4720" s="714"/>
      <c r="G4720" s="714"/>
      <c r="H4720" s="714"/>
    </row>
    <row r="4721" spans="1:8" ht="16.5" thickBot="1">
      <c r="A4721" s="597"/>
      <c r="B4721" s="597"/>
      <c r="C4721" s="598"/>
      <c r="D4721" s="598"/>
      <c r="E4721" s="598"/>
      <c r="F4721" s="598"/>
      <c r="G4721" s="598"/>
      <c r="H4721" s="598"/>
    </row>
    <row r="4722" spans="1:8" ht="12.75" customHeight="1">
      <c r="A4722" s="708" t="s">
        <v>617</v>
      </c>
      <c r="B4722" s="710" t="s">
        <v>618</v>
      </c>
      <c r="C4722" s="711" t="s">
        <v>619</v>
      </c>
      <c r="D4722" s="711"/>
      <c r="E4722" s="711"/>
      <c r="F4722" s="711"/>
      <c r="G4722" s="712" t="s">
        <v>620</v>
      </c>
      <c r="H4722" s="708" t="s">
        <v>621</v>
      </c>
    </row>
    <row r="4723" spans="1:8" ht="15.75">
      <c r="A4723" s="708"/>
      <c r="B4723" s="710"/>
      <c r="C4723" s="711"/>
      <c r="D4723" s="711"/>
      <c r="E4723" s="711"/>
      <c r="F4723" s="711"/>
      <c r="G4723" s="712"/>
      <c r="H4723" s="708"/>
    </row>
    <row r="4724" spans="1:8" ht="31.5">
      <c r="A4724" s="708"/>
      <c r="B4724" s="710"/>
      <c r="C4724" s="601" t="s">
        <v>622</v>
      </c>
      <c r="D4724" s="601" t="s">
        <v>623</v>
      </c>
      <c r="E4724" s="602" t="s">
        <v>622</v>
      </c>
      <c r="F4724" s="603" t="s">
        <v>623</v>
      </c>
      <c r="G4724" s="712"/>
      <c r="H4724" s="708"/>
    </row>
    <row r="4725" spans="1:8" ht="15.75">
      <c r="A4725" s="599">
        <v>1</v>
      </c>
      <c r="B4725" s="599">
        <v>2</v>
      </c>
      <c r="C4725" s="604">
        <v>3</v>
      </c>
      <c r="D4725" s="604">
        <v>4</v>
      </c>
      <c r="E4725" s="605"/>
      <c r="F4725" s="606"/>
      <c r="G4725" s="600">
        <v>5</v>
      </c>
      <c r="H4725" s="599">
        <v>6</v>
      </c>
    </row>
    <row r="4726" spans="1:8" ht="12.75" customHeight="1">
      <c r="A4726" s="607">
        <v>1</v>
      </c>
      <c r="B4726" s="709" t="s">
        <v>624</v>
      </c>
      <c r="C4726" s="709"/>
      <c r="D4726" s="709"/>
      <c r="E4726" s="709"/>
      <c r="F4726" s="709"/>
      <c r="G4726" s="709"/>
      <c r="H4726" s="709"/>
    </row>
    <row r="4727" spans="1:8" ht="15.75">
      <c r="A4727" s="608" t="s">
        <v>74</v>
      </c>
      <c r="B4727" s="609" t="s">
        <v>625</v>
      </c>
      <c r="C4727" s="610" t="s">
        <v>379</v>
      </c>
      <c r="D4727" s="610" t="s">
        <v>379</v>
      </c>
      <c r="E4727" s="610" t="s">
        <v>379</v>
      </c>
      <c r="F4727" s="610" t="s">
        <v>379</v>
      </c>
      <c r="G4727" s="610" t="s">
        <v>379</v>
      </c>
      <c r="H4727" s="611" t="s">
        <v>626</v>
      </c>
    </row>
    <row r="4728" spans="1:8" ht="15.75">
      <c r="A4728" s="608" t="s">
        <v>313</v>
      </c>
      <c r="B4728" s="609" t="s">
        <v>627</v>
      </c>
      <c r="C4728" s="610" t="s">
        <v>379</v>
      </c>
      <c r="D4728" s="610" t="s">
        <v>379</v>
      </c>
      <c r="E4728" s="610" t="s">
        <v>379</v>
      </c>
      <c r="F4728" s="610" t="s">
        <v>379</v>
      </c>
      <c r="G4728" s="610" t="s">
        <v>379</v>
      </c>
      <c r="H4728" s="611" t="s">
        <v>626</v>
      </c>
    </row>
    <row r="4729" spans="1:8" ht="31.5">
      <c r="A4729" s="608" t="s">
        <v>315</v>
      </c>
      <c r="B4729" s="612" t="s">
        <v>628</v>
      </c>
      <c r="C4729" s="610" t="s">
        <v>379</v>
      </c>
      <c r="D4729" s="610" t="s">
        <v>379</v>
      </c>
      <c r="E4729" s="610" t="s">
        <v>379</v>
      </c>
      <c r="F4729" s="610" t="s">
        <v>379</v>
      </c>
      <c r="G4729" s="610" t="s">
        <v>379</v>
      </c>
      <c r="H4729" s="611" t="s">
        <v>626</v>
      </c>
    </row>
    <row r="4730" spans="1:8" ht="47.25">
      <c r="A4730" s="608" t="s">
        <v>317</v>
      </c>
      <c r="B4730" s="612" t="s">
        <v>629</v>
      </c>
      <c r="C4730" s="610" t="s">
        <v>379</v>
      </c>
      <c r="D4730" s="610" t="s">
        <v>379</v>
      </c>
      <c r="E4730" s="610" t="s">
        <v>379</v>
      </c>
      <c r="F4730" s="610" t="s">
        <v>379</v>
      </c>
      <c r="G4730" s="610" t="s">
        <v>379</v>
      </c>
      <c r="H4730" s="611" t="s">
        <v>626</v>
      </c>
    </row>
    <row r="4731" spans="1:8" ht="15.75">
      <c r="A4731" s="608" t="s">
        <v>630</v>
      </c>
      <c r="B4731" s="613" t="s">
        <v>631</v>
      </c>
      <c r="C4731" s="610" t="s">
        <v>379</v>
      </c>
      <c r="D4731" s="610" t="s">
        <v>379</v>
      </c>
      <c r="E4731" s="610" t="s">
        <v>379</v>
      </c>
      <c r="F4731" s="610" t="s">
        <v>379</v>
      </c>
      <c r="G4731" s="610" t="s">
        <v>379</v>
      </c>
      <c r="H4731" s="611" t="s">
        <v>626</v>
      </c>
    </row>
    <row r="4732" spans="1:8" ht="15.75">
      <c r="A4732" s="608" t="s">
        <v>632</v>
      </c>
      <c r="B4732" s="613" t="s">
        <v>633</v>
      </c>
      <c r="C4732" s="610" t="s">
        <v>379</v>
      </c>
      <c r="D4732" s="610" t="s">
        <v>379</v>
      </c>
      <c r="E4732" s="610" t="s">
        <v>379</v>
      </c>
      <c r="F4732" s="610" t="s">
        <v>379</v>
      </c>
      <c r="G4732" s="610" t="s">
        <v>379</v>
      </c>
      <c r="H4732" s="611" t="s">
        <v>626</v>
      </c>
    </row>
    <row r="4733" spans="1:8" ht="12.75" customHeight="1">
      <c r="A4733" s="608">
        <v>2</v>
      </c>
      <c r="B4733" s="706" t="s">
        <v>634</v>
      </c>
      <c r="C4733" s="706"/>
      <c r="D4733" s="706"/>
      <c r="E4733" s="706"/>
      <c r="F4733" s="706"/>
      <c r="G4733" s="706"/>
      <c r="H4733" s="706"/>
    </row>
    <row r="4734" spans="1:8" ht="31.5">
      <c r="A4734" s="608" t="s">
        <v>321</v>
      </c>
      <c r="B4734" s="612" t="s">
        <v>635</v>
      </c>
      <c r="C4734" s="610" t="s">
        <v>870</v>
      </c>
      <c r="D4734" s="610" t="s">
        <v>871</v>
      </c>
      <c r="E4734" s="610" t="s">
        <v>379</v>
      </c>
      <c r="F4734" s="610" t="s">
        <v>379</v>
      </c>
      <c r="G4734" s="614">
        <v>0</v>
      </c>
      <c r="H4734" s="611"/>
    </row>
    <row r="4735" spans="1:8" ht="47.25">
      <c r="A4735" s="608" t="s">
        <v>325</v>
      </c>
      <c r="B4735" s="612" t="s">
        <v>638</v>
      </c>
      <c r="C4735" s="610" t="s">
        <v>379</v>
      </c>
      <c r="D4735" s="610" t="s">
        <v>379</v>
      </c>
      <c r="E4735" s="610" t="s">
        <v>379</v>
      </c>
      <c r="F4735" s="610" t="s">
        <v>379</v>
      </c>
      <c r="G4735" s="610" t="s">
        <v>379</v>
      </c>
      <c r="H4735" s="611" t="s">
        <v>626</v>
      </c>
    </row>
    <row r="4736" spans="1:8" ht="31.5">
      <c r="A4736" s="608" t="s">
        <v>639</v>
      </c>
      <c r="B4736" s="612" t="s">
        <v>640</v>
      </c>
      <c r="C4736" s="610" t="s">
        <v>379</v>
      </c>
      <c r="D4736" s="610" t="s">
        <v>379</v>
      </c>
      <c r="E4736" s="610" t="s">
        <v>379</v>
      </c>
      <c r="F4736" s="610" t="s">
        <v>379</v>
      </c>
      <c r="G4736" s="610" t="s">
        <v>379</v>
      </c>
      <c r="H4736" s="611" t="s">
        <v>626</v>
      </c>
    </row>
    <row r="4737" spans="1:8" ht="12.75" customHeight="1">
      <c r="A4737" s="608">
        <v>3</v>
      </c>
      <c r="B4737" s="706" t="s">
        <v>641</v>
      </c>
      <c r="C4737" s="706"/>
      <c r="D4737" s="706"/>
      <c r="E4737" s="706"/>
      <c r="F4737" s="706"/>
      <c r="G4737" s="706"/>
      <c r="H4737" s="706"/>
    </row>
    <row r="4738" spans="1:8" ht="31.5">
      <c r="A4738" s="608" t="s">
        <v>378</v>
      </c>
      <c r="B4738" s="613" t="s">
        <v>642</v>
      </c>
      <c r="C4738" s="610" t="s">
        <v>379</v>
      </c>
      <c r="D4738" s="610" t="s">
        <v>379</v>
      </c>
      <c r="E4738" s="610" t="s">
        <v>379</v>
      </c>
      <c r="F4738" s="610" t="s">
        <v>379</v>
      </c>
      <c r="G4738" s="610" t="s">
        <v>379</v>
      </c>
      <c r="H4738" s="611" t="s">
        <v>626</v>
      </c>
    </row>
    <row r="4739" spans="1:8" ht="15.75">
      <c r="A4739" s="608" t="s">
        <v>643</v>
      </c>
      <c r="B4739" s="613" t="s">
        <v>644</v>
      </c>
      <c r="C4739" s="610" t="s">
        <v>872</v>
      </c>
      <c r="D4739" s="610" t="s">
        <v>873</v>
      </c>
      <c r="E4739" s="610" t="s">
        <v>379</v>
      </c>
      <c r="F4739" s="610" t="s">
        <v>379</v>
      </c>
      <c r="G4739" s="614">
        <v>0</v>
      </c>
      <c r="H4739" s="611"/>
    </row>
    <row r="4740" spans="1:8" ht="15.75">
      <c r="A4740" s="608" t="s">
        <v>380</v>
      </c>
      <c r="B4740" s="613" t="s">
        <v>646</v>
      </c>
      <c r="C4740" s="610" t="s">
        <v>874</v>
      </c>
      <c r="D4740" s="610" t="s">
        <v>875</v>
      </c>
      <c r="E4740" s="610" t="s">
        <v>379</v>
      </c>
      <c r="F4740" s="610" t="s">
        <v>379</v>
      </c>
      <c r="G4740" s="614">
        <v>0</v>
      </c>
      <c r="H4740" s="611"/>
    </row>
    <row r="4741" spans="1:8" ht="15.75">
      <c r="A4741" s="608" t="s">
        <v>649</v>
      </c>
      <c r="B4741" s="613" t="s">
        <v>650</v>
      </c>
      <c r="C4741" s="610" t="s">
        <v>817</v>
      </c>
      <c r="D4741" s="610" t="s">
        <v>805</v>
      </c>
      <c r="E4741" s="610" t="s">
        <v>379</v>
      </c>
      <c r="F4741" s="610" t="s">
        <v>379</v>
      </c>
      <c r="G4741" s="614">
        <v>0</v>
      </c>
      <c r="H4741" s="611"/>
    </row>
    <row r="4742" spans="1:8" ht="15.75">
      <c r="A4742" s="608" t="s">
        <v>653</v>
      </c>
      <c r="B4742" s="613" t="s">
        <v>654</v>
      </c>
      <c r="C4742" s="610" t="s">
        <v>806</v>
      </c>
      <c r="D4742" s="610" t="s">
        <v>744</v>
      </c>
      <c r="E4742" s="610" t="s">
        <v>379</v>
      </c>
      <c r="F4742" s="610" t="s">
        <v>379</v>
      </c>
      <c r="G4742" s="614">
        <v>0</v>
      </c>
      <c r="H4742" s="611"/>
    </row>
    <row r="4743" spans="1:8" ht="12.75" customHeight="1">
      <c r="A4743" s="608">
        <v>4</v>
      </c>
      <c r="B4743" s="706" t="s">
        <v>656</v>
      </c>
      <c r="C4743" s="706"/>
      <c r="D4743" s="706"/>
      <c r="E4743" s="706"/>
      <c r="F4743" s="706"/>
      <c r="G4743" s="706"/>
      <c r="H4743" s="706"/>
    </row>
    <row r="4744" spans="1:8" ht="31.5">
      <c r="A4744" s="608" t="s">
        <v>657</v>
      </c>
      <c r="B4744" s="612" t="s">
        <v>658</v>
      </c>
      <c r="C4744" s="610" t="s">
        <v>379</v>
      </c>
      <c r="D4744" s="610" t="s">
        <v>379</v>
      </c>
      <c r="E4744" s="610" t="s">
        <v>379</v>
      </c>
      <c r="F4744" s="610" t="s">
        <v>379</v>
      </c>
      <c r="G4744" s="610" t="s">
        <v>379</v>
      </c>
      <c r="H4744" s="611" t="s">
        <v>626</v>
      </c>
    </row>
    <row r="4745" spans="1:8" ht="47.25">
      <c r="A4745" s="608" t="s">
        <v>659</v>
      </c>
      <c r="B4745" s="612" t="s">
        <v>660</v>
      </c>
      <c r="C4745" s="610" t="s">
        <v>379</v>
      </c>
      <c r="D4745" s="610" t="s">
        <v>379</v>
      </c>
      <c r="E4745" s="610" t="s">
        <v>379</v>
      </c>
      <c r="F4745" s="610" t="s">
        <v>379</v>
      </c>
      <c r="G4745" s="610" t="s">
        <v>379</v>
      </c>
      <c r="H4745" s="611" t="s">
        <v>626</v>
      </c>
    </row>
    <row r="4746" spans="1:8" ht="31.5">
      <c r="A4746" s="608" t="s">
        <v>661</v>
      </c>
      <c r="B4746" s="613" t="s">
        <v>662</v>
      </c>
      <c r="C4746" s="610" t="s">
        <v>379</v>
      </c>
      <c r="D4746" s="610" t="s">
        <v>379</v>
      </c>
      <c r="E4746" s="610" t="s">
        <v>379</v>
      </c>
      <c r="F4746" s="610" t="s">
        <v>379</v>
      </c>
      <c r="G4746" s="610" t="s">
        <v>379</v>
      </c>
      <c r="H4746" s="611" t="s">
        <v>626</v>
      </c>
    </row>
    <row r="4747" spans="1:8" ht="31.5">
      <c r="A4747" s="615" t="s">
        <v>663</v>
      </c>
      <c r="B4747" s="616" t="s">
        <v>664</v>
      </c>
      <c r="C4747" s="617" t="s">
        <v>379</v>
      </c>
      <c r="D4747" s="617" t="s">
        <v>379</v>
      </c>
      <c r="E4747" s="617" t="s">
        <v>379</v>
      </c>
      <c r="F4747" s="617" t="s">
        <v>379</v>
      </c>
      <c r="G4747" s="617" t="s">
        <v>379</v>
      </c>
      <c r="H4747" s="618" t="s">
        <v>626</v>
      </c>
    </row>
    <row r="4748" spans="1:8" ht="15.75">
      <c r="A4748" s="619"/>
      <c r="B4748" s="620"/>
      <c r="C4748" s="621"/>
      <c r="D4748" s="621"/>
      <c r="E4748" s="621"/>
      <c r="F4748" s="621"/>
      <c r="G4748" s="621"/>
      <c r="H4748" s="148"/>
    </row>
    <row r="4749" spans="1:8" ht="12.75" customHeight="1">
      <c r="A4749" s="707" t="s">
        <v>665</v>
      </c>
      <c r="B4749" s="707"/>
      <c r="C4749" s="707"/>
      <c r="D4749" s="707"/>
      <c r="E4749" s="707"/>
      <c r="F4749" s="707"/>
      <c r="G4749" s="707"/>
      <c r="H4749" s="707"/>
    </row>
    <row r="4750" spans="1:8" ht="15.75">
      <c r="A4750" s="622"/>
      <c r="B4750" s="622"/>
      <c r="C4750" s="622"/>
      <c r="D4750" s="622"/>
      <c r="E4750" s="622"/>
      <c r="F4750" s="622"/>
      <c r="G4750" s="622"/>
      <c r="H4750" s="622"/>
    </row>
    <row r="4751" spans="1:8" ht="15.75">
      <c r="A4751" s="622"/>
      <c r="B4751" s="622"/>
      <c r="C4751" s="622"/>
      <c r="D4751" s="622"/>
      <c r="E4751" s="622"/>
      <c r="F4751" s="622"/>
      <c r="G4751" s="622"/>
      <c r="H4751" s="622"/>
    </row>
    <row r="4752" ht="15.75">
      <c r="H4752" s="11" t="s">
        <v>609</v>
      </c>
    </row>
    <row r="4753" ht="15.75">
      <c r="H4753" s="11" t="s">
        <v>610</v>
      </c>
    </row>
    <row r="4754" ht="15.75">
      <c r="H4754" s="11" t="s">
        <v>611</v>
      </c>
    </row>
    <row r="4755" ht="15.75">
      <c r="H4755" s="11"/>
    </row>
    <row r="4756" spans="1:8" ht="12.75" customHeight="1">
      <c r="A4756" s="713" t="s">
        <v>612</v>
      </c>
      <c r="B4756" s="713"/>
      <c r="C4756" s="713"/>
      <c r="D4756" s="713"/>
      <c r="E4756" s="713"/>
      <c r="F4756" s="713"/>
      <c r="G4756" s="713"/>
      <c r="H4756" s="713"/>
    </row>
    <row r="4757" spans="1:8" ht="12.75" customHeight="1">
      <c r="A4757" s="713" t="s">
        <v>613</v>
      </c>
      <c r="B4757" s="713"/>
      <c r="C4757" s="713"/>
      <c r="D4757" s="713"/>
      <c r="E4757" s="713"/>
      <c r="F4757" s="713"/>
      <c r="G4757" s="713"/>
      <c r="H4757" s="713"/>
    </row>
    <row r="4758" ht="15.75">
      <c r="H4758" s="11" t="s">
        <v>43</v>
      </c>
    </row>
    <row r="4759" ht="15.75">
      <c r="H4759" s="11" t="s">
        <v>44</v>
      </c>
    </row>
    <row r="4760" ht="15.75">
      <c r="H4760" s="11" t="s">
        <v>45</v>
      </c>
    </row>
    <row r="4761" ht="15.75">
      <c r="H4761" s="594" t="s">
        <v>614</v>
      </c>
    </row>
    <row r="4762" ht="15.75">
      <c r="H4762" s="11" t="s">
        <v>615</v>
      </c>
    </row>
    <row r="4763" ht="15.75">
      <c r="H4763" s="11" t="s">
        <v>47</v>
      </c>
    </row>
    <row r="4764" ht="15.75">
      <c r="A4764" s="595"/>
    </row>
    <row r="4765" ht="15.75">
      <c r="A4765" s="3" t="s">
        <v>877</v>
      </c>
    </row>
    <row r="4766" spans="1:8" ht="12.75" customHeight="1">
      <c r="A4766" s="717" t="s">
        <v>0</v>
      </c>
      <c r="B4766" s="714"/>
      <c r="C4766" s="714"/>
      <c r="D4766" s="714"/>
      <c r="E4766" s="714"/>
      <c r="F4766" s="714"/>
      <c r="G4766" s="714"/>
      <c r="H4766" s="714"/>
    </row>
    <row r="4767" spans="1:8" ht="16.5" thickBot="1">
      <c r="A4767" s="597"/>
      <c r="B4767" s="597"/>
      <c r="C4767" s="598"/>
      <c r="D4767" s="598"/>
      <c r="E4767" s="598"/>
      <c r="F4767" s="598"/>
      <c r="G4767" s="598"/>
      <c r="H4767" s="598"/>
    </row>
    <row r="4768" spans="1:8" ht="12.75" customHeight="1">
      <c r="A4768" s="708" t="s">
        <v>617</v>
      </c>
      <c r="B4768" s="710" t="s">
        <v>618</v>
      </c>
      <c r="C4768" s="711" t="s">
        <v>619</v>
      </c>
      <c r="D4768" s="711"/>
      <c r="E4768" s="711"/>
      <c r="F4768" s="711"/>
      <c r="G4768" s="712" t="s">
        <v>620</v>
      </c>
      <c r="H4768" s="708" t="s">
        <v>621</v>
      </c>
    </row>
    <row r="4769" spans="1:8" ht="15.75">
      <c r="A4769" s="708"/>
      <c r="B4769" s="710"/>
      <c r="C4769" s="711"/>
      <c r="D4769" s="711"/>
      <c r="E4769" s="711"/>
      <c r="F4769" s="711"/>
      <c r="G4769" s="712"/>
      <c r="H4769" s="708"/>
    </row>
    <row r="4770" spans="1:8" ht="31.5">
      <c r="A4770" s="708"/>
      <c r="B4770" s="710"/>
      <c r="C4770" s="601" t="s">
        <v>622</v>
      </c>
      <c r="D4770" s="601" t="s">
        <v>623</v>
      </c>
      <c r="E4770" s="602" t="s">
        <v>622</v>
      </c>
      <c r="F4770" s="603" t="s">
        <v>623</v>
      </c>
      <c r="G4770" s="712"/>
      <c r="H4770" s="708"/>
    </row>
    <row r="4771" spans="1:8" ht="15.75">
      <c r="A4771" s="599">
        <v>1</v>
      </c>
      <c r="B4771" s="599">
        <v>2</v>
      </c>
      <c r="C4771" s="604">
        <v>3</v>
      </c>
      <c r="D4771" s="604">
        <v>4</v>
      </c>
      <c r="E4771" s="605"/>
      <c r="F4771" s="606"/>
      <c r="G4771" s="600">
        <v>5</v>
      </c>
      <c r="H4771" s="599">
        <v>6</v>
      </c>
    </row>
    <row r="4772" spans="1:8" ht="12.75" customHeight="1">
      <c r="A4772" s="607">
        <v>1</v>
      </c>
      <c r="B4772" s="709" t="s">
        <v>624</v>
      </c>
      <c r="C4772" s="709"/>
      <c r="D4772" s="709"/>
      <c r="E4772" s="709"/>
      <c r="F4772" s="709"/>
      <c r="G4772" s="709"/>
      <c r="H4772" s="709"/>
    </row>
    <row r="4773" spans="1:8" ht="15.75">
      <c r="A4773" s="608" t="s">
        <v>74</v>
      </c>
      <c r="B4773" s="609" t="s">
        <v>625</v>
      </c>
      <c r="C4773" s="610" t="s">
        <v>379</v>
      </c>
      <c r="D4773" s="610" t="s">
        <v>379</v>
      </c>
      <c r="E4773" s="610" t="s">
        <v>379</v>
      </c>
      <c r="F4773" s="610" t="s">
        <v>379</v>
      </c>
      <c r="G4773" s="610" t="s">
        <v>379</v>
      </c>
      <c r="H4773" s="611" t="s">
        <v>626</v>
      </c>
    </row>
    <row r="4774" spans="1:8" ht="15.75">
      <c r="A4774" s="608" t="s">
        <v>313</v>
      </c>
      <c r="B4774" s="609" t="s">
        <v>627</v>
      </c>
      <c r="C4774" s="610" t="s">
        <v>379</v>
      </c>
      <c r="D4774" s="610" t="s">
        <v>379</v>
      </c>
      <c r="E4774" s="610" t="s">
        <v>379</v>
      </c>
      <c r="F4774" s="610" t="s">
        <v>379</v>
      </c>
      <c r="G4774" s="610" t="s">
        <v>379</v>
      </c>
      <c r="H4774" s="611" t="s">
        <v>626</v>
      </c>
    </row>
    <row r="4775" spans="1:8" ht="31.5">
      <c r="A4775" s="608" t="s">
        <v>315</v>
      </c>
      <c r="B4775" s="612" t="s">
        <v>628</v>
      </c>
      <c r="C4775" s="610" t="s">
        <v>379</v>
      </c>
      <c r="D4775" s="610" t="s">
        <v>379</v>
      </c>
      <c r="E4775" s="610" t="s">
        <v>379</v>
      </c>
      <c r="F4775" s="610" t="s">
        <v>379</v>
      </c>
      <c r="G4775" s="610" t="s">
        <v>379</v>
      </c>
      <c r="H4775" s="611" t="s">
        <v>626</v>
      </c>
    </row>
    <row r="4776" spans="1:8" ht="47.25">
      <c r="A4776" s="608" t="s">
        <v>317</v>
      </c>
      <c r="B4776" s="612" t="s">
        <v>629</v>
      </c>
      <c r="C4776" s="610" t="s">
        <v>379</v>
      </c>
      <c r="D4776" s="610" t="s">
        <v>379</v>
      </c>
      <c r="E4776" s="610" t="s">
        <v>379</v>
      </c>
      <c r="F4776" s="610" t="s">
        <v>379</v>
      </c>
      <c r="G4776" s="610" t="s">
        <v>379</v>
      </c>
      <c r="H4776" s="611" t="s">
        <v>626</v>
      </c>
    </row>
    <row r="4777" spans="1:8" ht="15.75">
      <c r="A4777" s="608" t="s">
        <v>630</v>
      </c>
      <c r="B4777" s="613" t="s">
        <v>631</v>
      </c>
      <c r="C4777" s="610" t="s">
        <v>379</v>
      </c>
      <c r="D4777" s="610" t="s">
        <v>379</v>
      </c>
      <c r="E4777" s="610" t="s">
        <v>379</v>
      </c>
      <c r="F4777" s="610" t="s">
        <v>379</v>
      </c>
      <c r="G4777" s="610" t="s">
        <v>379</v>
      </c>
      <c r="H4777" s="611" t="s">
        <v>626</v>
      </c>
    </row>
    <row r="4778" spans="1:8" ht="15.75">
      <c r="A4778" s="608" t="s">
        <v>632</v>
      </c>
      <c r="B4778" s="613" t="s">
        <v>633</v>
      </c>
      <c r="C4778" s="610" t="s">
        <v>379</v>
      </c>
      <c r="D4778" s="610" t="s">
        <v>379</v>
      </c>
      <c r="E4778" s="610" t="s">
        <v>379</v>
      </c>
      <c r="F4778" s="610" t="s">
        <v>379</v>
      </c>
      <c r="G4778" s="610" t="s">
        <v>379</v>
      </c>
      <c r="H4778" s="611" t="s">
        <v>626</v>
      </c>
    </row>
    <row r="4779" spans="1:8" ht="12.75" customHeight="1">
      <c r="A4779" s="608">
        <v>2</v>
      </c>
      <c r="B4779" s="706" t="s">
        <v>634</v>
      </c>
      <c r="C4779" s="706"/>
      <c r="D4779" s="706"/>
      <c r="E4779" s="706"/>
      <c r="F4779" s="706"/>
      <c r="G4779" s="706"/>
      <c r="H4779" s="706"/>
    </row>
    <row r="4780" spans="1:8" ht="31.5">
      <c r="A4780" s="608" t="s">
        <v>321</v>
      </c>
      <c r="B4780" s="612" t="s">
        <v>635</v>
      </c>
      <c r="C4780" s="610" t="s">
        <v>870</v>
      </c>
      <c r="D4780" s="610" t="s">
        <v>871</v>
      </c>
      <c r="E4780" s="610" t="s">
        <v>379</v>
      </c>
      <c r="F4780" s="610" t="s">
        <v>379</v>
      </c>
      <c r="G4780" s="614">
        <v>0</v>
      </c>
      <c r="H4780" s="611"/>
    </row>
    <row r="4781" spans="1:8" ht="47.25">
      <c r="A4781" s="608" t="s">
        <v>325</v>
      </c>
      <c r="B4781" s="612" t="s">
        <v>638</v>
      </c>
      <c r="C4781" s="610" t="s">
        <v>379</v>
      </c>
      <c r="D4781" s="610" t="s">
        <v>379</v>
      </c>
      <c r="E4781" s="610" t="s">
        <v>379</v>
      </c>
      <c r="F4781" s="610" t="s">
        <v>379</v>
      </c>
      <c r="G4781" s="610" t="s">
        <v>379</v>
      </c>
      <c r="H4781" s="611" t="s">
        <v>626</v>
      </c>
    </row>
    <row r="4782" spans="1:8" ht="31.5">
      <c r="A4782" s="608" t="s">
        <v>639</v>
      </c>
      <c r="B4782" s="612" t="s">
        <v>640</v>
      </c>
      <c r="C4782" s="610" t="s">
        <v>379</v>
      </c>
      <c r="D4782" s="610" t="s">
        <v>379</v>
      </c>
      <c r="E4782" s="610" t="s">
        <v>379</v>
      </c>
      <c r="F4782" s="610" t="s">
        <v>379</v>
      </c>
      <c r="G4782" s="610" t="s">
        <v>379</v>
      </c>
      <c r="H4782" s="611" t="s">
        <v>626</v>
      </c>
    </row>
    <row r="4783" spans="1:8" ht="12.75" customHeight="1">
      <c r="A4783" s="608">
        <v>3</v>
      </c>
      <c r="B4783" s="706" t="s">
        <v>641</v>
      </c>
      <c r="C4783" s="706"/>
      <c r="D4783" s="706"/>
      <c r="E4783" s="706"/>
      <c r="F4783" s="706"/>
      <c r="G4783" s="706"/>
      <c r="H4783" s="706"/>
    </row>
    <row r="4784" spans="1:8" ht="31.5">
      <c r="A4784" s="608" t="s">
        <v>378</v>
      </c>
      <c r="B4784" s="613" t="s">
        <v>642</v>
      </c>
      <c r="C4784" s="610" t="s">
        <v>379</v>
      </c>
      <c r="D4784" s="610" t="s">
        <v>379</v>
      </c>
      <c r="E4784" s="610" t="s">
        <v>379</v>
      </c>
      <c r="F4784" s="610" t="s">
        <v>379</v>
      </c>
      <c r="G4784" s="610" t="s">
        <v>379</v>
      </c>
      <c r="H4784" s="611" t="s">
        <v>626</v>
      </c>
    </row>
    <row r="4785" spans="1:8" ht="15.75">
      <c r="A4785" s="608" t="s">
        <v>643</v>
      </c>
      <c r="B4785" s="613" t="s">
        <v>644</v>
      </c>
      <c r="C4785" s="610" t="s">
        <v>872</v>
      </c>
      <c r="D4785" s="610" t="s">
        <v>873</v>
      </c>
      <c r="E4785" s="610" t="s">
        <v>379</v>
      </c>
      <c r="F4785" s="610" t="s">
        <v>379</v>
      </c>
      <c r="G4785" s="614">
        <v>0</v>
      </c>
      <c r="H4785" s="611"/>
    </row>
    <row r="4786" spans="1:8" ht="15.75">
      <c r="A4786" s="608" t="s">
        <v>380</v>
      </c>
      <c r="B4786" s="613" t="s">
        <v>646</v>
      </c>
      <c r="C4786" s="610" t="s">
        <v>874</v>
      </c>
      <c r="D4786" s="610" t="s">
        <v>875</v>
      </c>
      <c r="E4786" s="610" t="s">
        <v>379</v>
      </c>
      <c r="F4786" s="610" t="s">
        <v>379</v>
      </c>
      <c r="G4786" s="614">
        <v>0</v>
      </c>
      <c r="H4786" s="611"/>
    </row>
    <row r="4787" spans="1:8" ht="15.75">
      <c r="A4787" s="608" t="s">
        <v>649</v>
      </c>
      <c r="B4787" s="613" t="s">
        <v>650</v>
      </c>
      <c r="C4787" s="610" t="s">
        <v>817</v>
      </c>
      <c r="D4787" s="610" t="s">
        <v>805</v>
      </c>
      <c r="E4787" s="610" t="s">
        <v>379</v>
      </c>
      <c r="F4787" s="610" t="s">
        <v>379</v>
      </c>
      <c r="G4787" s="614">
        <v>0</v>
      </c>
      <c r="H4787" s="611"/>
    </row>
    <row r="4788" spans="1:8" ht="15.75">
      <c r="A4788" s="608" t="s">
        <v>653</v>
      </c>
      <c r="B4788" s="613" t="s">
        <v>654</v>
      </c>
      <c r="C4788" s="610" t="s">
        <v>806</v>
      </c>
      <c r="D4788" s="610" t="s">
        <v>744</v>
      </c>
      <c r="E4788" s="610" t="s">
        <v>379</v>
      </c>
      <c r="F4788" s="610" t="s">
        <v>379</v>
      </c>
      <c r="G4788" s="614">
        <v>0</v>
      </c>
      <c r="H4788" s="611"/>
    </row>
    <row r="4789" spans="1:8" ht="12.75" customHeight="1">
      <c r="A4789" s="608">
        <v>4</v>
      </c>
      <c r="B4789" s="706" t="s">
        <v>656</v>
      </c>
      <c r="C4789" s="706"/>
      <c r="D4789" s="706"/>
      <c r="E4789" s="706"/>
      <c r="F4789" s="706"/>
      <c r="G4789" s="706"/>
      <c r="H4789" s="706"/>
    </row>
    <row r="4790" spans="1:8" ht="31.5">
      <c r="A4790" s="608" t="s">
        <v>657</v>
      </c>
      <c r="B4790" s="612" t="s">
        <v>658</v>
      </c>
      <c r="C4790" s="610" t="s">
        <v>379</v>
      </c>
      <c r="D4790" s="610" t="s">
        <v>379</v>
      </c>
      <c r="E4790" s="610" t="s">
        <v>379</v>
      </c>
      <c r="F4790" s="610" t="s">
        <v>379</v>
      </c>
      <c r="G4790" s="610" t="s">
        <v>379</v>
      </c>
      <c r="H4790" s="611" t="s">
        <v>626</v>
      </c>
    </row>
    <row r="4791" spans="1:8" ht="47.25">
      <c r="A4791" s="608" t="s">
        <v>659</v>
      </c>
      <c r="B4791" s="612" t="s">
        <v>660</v>
      </c>
      <c r="C4791" s="610" t="s">
        <v>379</v>
      </c>
      <c r="D4791" s="610" t="s">
        <v>379</v>
      </c>
      <c r="E4791" s="610" t="s">
        <v>379</v>
      </c>
      <c r="F4791" s="610" t="s">
        <v>379</v>
      </c>
      <c r="G4791" s="610" t="s">
        <v>379</v>
      </c>
      <c r="H4791" s="611" t="s">
        <v>626</v>
      </c>
    </row>
    <row r="4792" spans="1:8" ht="31.5">
      <c r="A4792" s="608" t="s">
        <v>661</v>
      </c>
      <c r="B4792" s="613" t="s">
        <v>662</v>
      </c>
      <c r="C4792" s="610" t="s">
        <v>379</v>
      </c>
      <c r="D4792" s="610" t="s">
        <v>379</v>
      </c>
      <c r="E4792" s="610" t="s">
        <v>379</v>
      </c>
      <c r="F4792" s="610" t="s">
        <v>379</v>
      </c>
      <c r="G4792" s="610" t="s">
        <v>379</v>
      </c>
      <c r="H4792" s="611" t="s">
        <v>626</v>
      </c>
    </row>
    <row r="4793" spans="1:8" ht="31.5">
      <c r="A4793" s="615" t="s">
        <v>663</v>
      </c>
      <c r="B4793" s="616" t="s">
        <v>664</v>
      </c>
      <c r="C4793" s="617" t="s">
        <v>379</v>
      </c>
      <c r="D4793" s="617" t="s">
        <v>379</v>
      </c>
      <c r="E4793" s="617" t="s">
        <v>379</v>
      </c>
      <c r="F4793" s="617" t="s">
        <v>379</v>
      </c>
      <c r="G4793" s="617" t="s">
        <v>379</v>
      </c>
      <c r="H4793" s="618" t="s">
        <v>626</v>
      </c>
    </row>
    <row r="4794" spans="1:8" ht="15.75">
      <c r="A4794" s="619"/>
      <c r="B4794" s="620"/>
      <c r="C4794" s="621"/>
      <c r="D4794" s="621"/>
      <c r="E4794" s="621"/>
      <c r="F4794" s="621"/>
      <c r="G4794" s="621"/>
      <c r="H4794" s="148"/>
    </row>
    <row r="4795" spans="1:8" ht="12.75" customHeight="1">
      <c r="A4795" s="707" t="s">
        <v>665</v>
      </c>
      <c r="B4795" s="707"/>
      <c r="C4795" s="707"/>
      <c r="D4795" s="707"/>
      <c r="E4795" s="707"/>
      <c r="F4795" s="707"/>
      <c r="G4795" s="707"/>
      <c r="H4795" s="707"/>
    </row>
    <row r="4796" spans="1:8" ht="15.75">
      <c r="A4796" s="622"/>
      <c r="B4796" s="622"/>
      <c r="C4796" s="622"/>
      <c r="D4796" s="622"/>
      <c r="E4796" s="622"/>
      <c r="F4796" s="622"/>
      <c r="G4796" s="622"/>
      <c r="H4796" s="622"/>
    </row>
    <row r="4797" spans="1:8" ht="15.75">
      <c r="A4797" s="622"/>
      <c r="B4797" s="622"/>
      <c r="C4797" s="622"/>
      <c r="D4797" s="622"/>
      <c r="E4797" s="622"/>
      <c r="F4797" s="622"/>
      <c r="G4797" s="622"/>
      <c r="H4797" s="622"/>
    </row>
    <row r="4798" ht="15.75">
      <c r="H4798" s="11" t="s">
        <v>609</v>
      </c>
    </row>
    <row r="4799" ht="15.75">
      <c r="H4799" s="11" t="s">
        <v>610</v>
      </c>
    </row>
    <row r="4800" ht="15.75">
      <c r="H4800" s="11" t="s">
        <v>611</v>
      </c>
    </row>
    <row r="4801" ht="15.75">
      <c r="H4801" s="11"/>
    </row>
    <row r="4802" spans="1:8" ht="12.75" customHeight="1">
      <c r="A4802" s="713" t="s">
        <v>612</v>
      </c>
      <c r="B4802" s="713"/>
      <c r="C4802" s="713"/>
      <c r="D4802" s="713"/>
      <c r="E4802" s="713"/>
      <c r="F4802" s="713"/>
      <c r="G4802" s="713"/>
      <c r="H4802" s="713"/>
    </row>
    <row r="4803" spans="1:8" ht="12.75" customHeight="1">
      <c r="A4803" s="713" t="s">
        <v>613</v>
      </c>
      <c r="B4803" s="713"/>
      <c r="C4803" s="713"/>
      <c r="D4803" s="713"/>
      <c r="E4803" s="713"/>
      <c r="F4803" s="713"/>
      <c r="G4803" s="713"/>
      <c r="H4803" s="713"/>
    </row>
    <row r="4804" ht="15.75">
      <c r="H4804" s="11" t="s">
        <v>43</v>
      </c>
    </row>
    <row r="4805" ht="15.75">
      <c r="H4805" s="11" t="s">
        <v>44</v>
      </c>
    </row>
    <row r="4806" ht="15.75">
      <c r="H4806" s="11" t="s">
        <v>45</v>
      </c>
    </row>
    <row r="4807" ht="15.75">
      <c r="H4807" s="594" t="s">
        <v>614</v>
      </c>
    </row>
    <row r="4808" ht="15.75">
      <c r="H4808" s="11" t="s">
        <v>615</v>
      </c>
    </row>
    <row r="4809" ht="15.75">
      <c r="H4809" s="11" t="s">
        <v>47</v>
      </c>
    </row>
    <row r="4810" ht="15.75">
      <c r="A4810" s="595"/>
    </row>
    <row r="4811" ht="15.75">
      <c r="A4811" s="3" t="s">
        <v>878</v>
      </c>
    </row>
    <row r="4812" spans="1:8" ht="12.75" customHeight="1">
      <c r="A4812" s="717" t="s">
        <v>0</v>
      </c>
      <c r="B4812" s="714"/>
      <c r="C4812" s="714"/>
      <c r="D4812" s="714"/>
      <c r="E4812" s="714"/>
      <c r="F4812" s="714"/>
      <c r="G4812" s="714"/>
      <c r="H4812" s="714"/>
    </row>
    <row r="4813" spans="1:8" ht="16.5" thickBot="1">
      <c r="A4813" s="597"/>
      <c r="B4813" s="597"/>
      <c r="C4813" s="598"/>
      <c r="D4813" s="598"/>
      <c r="E4813" s="598"/>
      <c r="F4813" s="598"/>
      <c r="G4813" s="598"/>
      <c r="H4813" s="598"/>
    </row>
    <row r="4814" spans="1:8" ht="12.75" customHeight="1">
      <c r="A4814" s="708" t="s">
        <v>617</v>
      </c>
      <c r="B4814" s="710" t="s">
        <v>618</v>
      </c>
      <c r="C4814" s="711" t="s">
        <v>619</v>
      </c>
      <c r="D4814" s="711"/>
      <c r="E4814" s="711"/>
      <c r="F4814" s="711"/>
      <c r="G4814" s="712" t="s">
        <v>620</v>
      </c>
      <c r="H4814" s="708" t="s">
        <v>621</v>
      </c>
    </row>
    <row r="4815" spans="1:8" ht="15.75">
      <c r="A4815" s="708"/>
      <c r="B4815" s="710"/>
      <c r="C4815" s="711"/>
      <c r="D4815" s="711"/>
      <c r="E4815" s="711"/>
      <c r="F4815" s="711"/>
      <c r="G4815" s="712"/>
      <c r="H4815" s="708"/>
    </row>
    <row r="4816" spans="1:8" ht="31.5">
      <c r="A4816" s="708"/>
      <c r="B4816" s="710"/>
      <c r="C4816" s="601" t="s">
        <v>622</v>
      </c>
      <c r="D4816" s="601" t="s">
        <v>623</v>
      </c>
      <c r="E4816" s="602" t="s">
        <v>622</v>
      </c>
      <c r="F4816" s="603" t="s">
        <v>623</v>
      </c>
      <c r="G4816" s="712"/>
      <c r="H4816" s="708"/>
    </row>
    <row r="4817" spans="1:8" ht="15.75">
      <c r="A4817" s="599">
        <v>1</v>
      </c>
      <c r="B4817" s="599">
        <v>2</v>
      </c>
      <c r="C4817" s="604">
        <v>3</v>
      </c>
      <c r="D4817" s="604">
        <v>4</v>
      </c>
      <c r="E4817" s="605"/>
      <c r="F4817" s="606"/>
      <c r="G4817" s="600">
        <v>5</v>
      </c>
      <c r="H4817" s="599">
        <v>6</v>
      </c>
    </row>
    <row r="4818" spans="1:8" ht="12.75" customHeight="1">
      <c r="A4818" s="607">
        <v>1</v>
      </c>
      <c r="B4818" s="709" t="s">
        <v>624</v>
      </c>
      <c r="C4818" s="709"/>
      <c r="D4818" s="709"/>
      <c r="E4818" s="709"/>
      <c r="F4818" s="709"/>
      <c r="G4818" s="709"/>
      <c r="H4818" s="709"/>
    </row>
    <row r="4819" spans="1:8" ht="15.75">
      <c r="A4819" s="608" t="s">
        <v>74</v>
      </c>
      <c r="B4819" s="609" t="s">
        <v>625</v>
      </c>
      <c r="C4819" s="610" t="s">
        <v>379</v>
      </c>
      <c r="D4819" s="610" t="s">
        <v>379</v>
      </c>
      <c r="E4819" s="610" t="s">
        <v>379</v>
      </c>
      <c r="F4819" s="610" t="s">
        <v>379</v>
      </c>
      <c r="G4819" s="610" t="s">
        <v>379</v>
      </c>
      <c r="H4819" s="611" t="s">
        <v>626</v>
      </c>
    </row>
    <row r="4820" spans="1:8" ht="15.75">
      <c r="A4820" s="608" t="s">
        <v>313</v>
      </c>
      <c r="B4820" s="609" t="s">
        <v>627</v>
      </c>
      <c r="C4820" s="610" t="s">
        <v>379</v>
      </c>
      <c r="D4820" s="610" t="s">
        <v>379</v>
      </c>
      <c r="E4820" s="610" t="s">
        <v>379</v>
      </c>
      <c r="F4820" s="610" t="s">
        <v>379</v>
      </c>
      <c r="G4820" s="610" t="s">
        <v>379</v>
      </c>
      <c r="H4820" s="611" t="s">
        <v>626</v>
      </c>
    </row>
    <row r="4821" spans="1:8" ht="31.5">
      <c r="A4821" s="608" t="s">
        <v>315</v>
      </c>
      <c r="B4821" s="612" t="s">
        <v>628</v>
      </c>
      <c r="C4821" s="610" t="s">
        <v>379</v>
      </c>
      <c r="D4821" s="610" t="s">
        <v>379</v>
      </c>
      <c r="E4821" s="610" t="s">
        <v>379</v>
      </c>
      <c r="F4821" s="610" t="s">
        <v>379</v>
      </c>
      <c r="G4821" s="610" t="s">
        <v>379</v>
      </c>
      <c r="H4821" s="611" t="s">
        <v>626</v>
      </c>
    </row>
    <row r="4822" spans="1:8" ht="47.25">
      <c r="A4822" s="608" t="s">
        <v>317</v>
      </c>
      <c r="B4822" s="612" t="s">
        <v>629</v>
      </c>
      <c r="C4822" s="610" t="s">
        <v>379</v>
      </c>
      <c r="D4822" s="610" t="s">
        <v>379</v>
      </c>
      <c r="E4822" s="610" t="s">
        <v>379</v>
      </c>
      <c r="F4822" s="610" t="s">
        <v>379</v>
      </c>
      <c r="G4822" s="610" t="s">
        <v>379</v>
      </c>
      <c r="H4822" s="611" t="s">
        <v>626</v>
      </c>
    </row>
    <row r="4823" spans="1:8" ht="15.75">
      <c r="A4823" s="608" t="s">
        <v>630</v>
      </c>
      <c r="B4823" s="613" t="s">
        <v>631</v>
      </c>
      <c r="C4823" s="610" t="s">
        <v>379</v>
      </c>
      <c r="D4823" s="610" t="s">
        <v>379</v>
      </c>
      <c r="E4823" s="610" t="s">
        <v>379</v>
      </c>
      <c r="F4823" s="610" t="s">
        <v>379</v>
      </c>
      <c r="G4823" s="610" t="s">
        <v>379</v>
      </c>
      <c r="H4823" s="611" t="s">
        <v>626</v>
      </c>
    </row>
    <row r="4824" spans="1:8" ht="15.75">
      <c r="A4824" s="608" t="s">
        <v>632</v>
      </c>
      <c r="B4824" s="613" t="s">
        <v>633</v>
      </c>
      <c r="C4824" s="610" t="s">
        <v>379</v>
      </c>
      <c r="D4824" s="610" t="s">
        <v>379</v>
      </c>
      <c r="E4824" s="610" t="s">
        <v>379</v>
      </c>
      <c r="F4824" s="610" t="s">
        <v>379</v>
      </c>
      <c r="G4824" s="610" t="s">
        <v>379</v>
      </c>
      <c r="H4824" s="611" t="s">
        <v>626</v>
      </c>
    </row>
    <row r="4825" spans="1:8" ht="12.75" customHeight="1">
      <c r="A4825" s="608">
        <v>2</v>
      </c>
      <c r="B4825" s="706" t="s">
        <v>634</v>
      </c>
      <c r="C4825" s="706"/>
      <c r="D4825" s="706"/>
      <c r="E4825" s="706"/>
      <c r="F4825" s="706"/>
      <c r="G4825" s="706"/>
      <c r="H4825" s="706"/>
    </row>
    <row r="4826" spans="1:8" ht="31.5">
      <c r="A4826" s="608" t="s">
        <v>321</v>
      </c>
      <c r="B4826" s="612" t="s">
        <v>635</v>
      </c>
      <c r="C4826" s="610" t="s">
        <v>806</v>
      </c>
      <c r="D4826" s="610" t="s">
        <v>871</v>
      </c>
      <c r="E4826" s="610" t="s">
        <v>379</v>
      </c>
      <c r="F4826" s="610" t="s">
        <v>379</v>
      </c>
      <c r="G4826" s="614">
        <v>0</v>
      </c>
      <c r="H4826" s="611"/>
    </row>
    <row r="4827" spans="1:8" ht="47.25">
      <c r="A4827" s="608" t="s">
        <v>325</v>
      </c>
      <c r="B4827" s="612" t="s">
        <v>638</v>
      </c>
      <c r="C4827" s="610" t="s">
        <v>379</v>
      </c>
      <c r="D4827" s="610" t="s">
        <v>379</v>
      </c>
      <c r="E4827" s="610" t="s">
        <v>379</v>
      </c>
      <c r="F4827" s="610" t="s">
        <v>379</v>
      </c>
      <c r="G4827" s="610" t="s">
        <v>379</v>
      </c>
      <c r="H4827" s="611" t="s">
        <v>626</v>
      </c>
    </row>
    <row r="4828" spans="1:8" ht="31.5">
      <c r="A4828" s="608" t="s">
        <v>639</v>
      </c>
      <c r="B4828" s="612" t="s">
        <v>640</v>
      </c>
      <c r="C4828" s="610" t="s">
        <v>379</v>
      </c>
      <c r="D4828" s="610" t="s">
        <v>379</v>
      </c>
      <c r="E4828" s="610" t="s">
        <v>379</v>
      </c>
      <c r="F4828" s="610" t="s">
        <v>379</v>
      </c>
      <c r="G4828" s="610" t="s">
        <v>379</v>
      </c>
      <c r="H4828" s="611" t="s">
        <v>626</v>
      </c>
    </row>
    <row r="4829" spans="1:8" ht="12.75" customHeight="1">
      <c r="A4829" s="608">
        <v>3</v>
      </c>
      <c r="B4829" s="706" t="s">
        <v>641</v>
      </c>
      <c r="C4829" s="706"/>
      <c r="D4829" s="706"/>
      <c r="E4829" s="706"/>
      <c r="F4829" s="706"/>
      <c r="G4829" s="706"/>
      <c r="H4829" s="706"/>
    </row>
    <row r="4830" spans="1:8" ht="31.5">
      <c r="A4830" s="608" t="s">
        <v>378</v>
      </c>
      <c r="B4830" s="613" t="s">
        <v>642</v>
      </c>
      <c r="C4830" s="610" t="s">
        <v>379</v>
      </c>
      <c r="D4830" s="610" t="s">
        <v>379</v>
      </c>
      <c r="E4830" s="610" t="s">
        <v>379</v>
      </c>
      <c r="F4830" s="610" t="s">
        <v>379</v>
      </c>
      <c r="G4830" s="610" t="s">
        <v>379</v>
      </c>
      <c r="H4830" s="611" t="s">
        <v>626</v>
      </c>
    </row>
    <row r="4831" spans="1:8" ht="15.75">
      <c r="A4831" s="608" t="s">
        <v>643</v>
      </c>
      <c r="B4831" s="613" t="s">
        <v>644</v>
      </c>
      <c r="C4831" s="610" t="s">
        <v>806</v>
      </c>
      <c r="D4831" s="610" t="s">
        <v>744</v>
      </c>
      <c r="E4831" s="610" t="s">
        <v>379</v>
      </c>
      <c r="F4831" s="610" t="s">
        <v>379</v>
      </c>
      <c r="G4831" s="614">
        <v>0</v>
      </c>
      <c r="H4831" s="611"/>
    </row>
    <row r="4832" spans="1:8" ht="15.75">
      <c r="A4832" s="608" t="s">
        <v>380</v>
      </c>
      <c r="B4832" s="613" t="s">
        <v>646</v>
      </c>
      <c r="C4832" s="610" t="s">
        <v>756</v>
      </c>
      <c r="D4832" s="610" t="s">
        <v>879</v>
      </c>
      <c r="E4832" s="610" t="s">
        <v>379</v>
      </c>
      <c r="F4832" s="610" t="s">
        <v>379</v>
      </c>
      <c r="G4832" s="614">
        <v>0</v>
      </c>
      <c r="H4832" s="611"/>
    </row>
    <row r="4833" spans="1:8" ht="15.75">
      <c r="A4833" s="608" t="s">
        <v>649</v>
      </c>
      <c r="B4833" s="613" t="s">
        <v>650</v>
      </c>
      <c r="C4833" s="610" t="s">
        <v>880</v>
      </c>
      <c r="D4833" s="610" t="s">
        <v>881</v>
      </c>
      <c r="E4833" s="610" t="s">
        <v>379</v>
      </c>
      <c r="F4833" s="610" t="s">
        <v>379</v>
      </c>
      <c r="G4833" s="614">
        <v>0</v>
      </c>
      <c r="H4833" s="611"/>
    </row>
    <row r="4834" spans="1:8" ht="15.75">
      <c r="A4834" s="608" t="s">
        <v>653</v>
      </c>
      <c r="B4834" s="613" t="s">
        <v>654</v>
      </c>
      <c r="C4834" s="610" t="s">
        <v>882</v>
      </c>
      <c r="D4834" s="610" t="s">
        <v>811</v>
      </c>
      <c r="E4834" s="610" t="s">
        <v>379</v>
      </c>
      <c r="F4834" s="610" t="s">
        <v>379</v>
      </c>
      <c r="G4834" s="614">
        <v>0</v>
      </c>
      <c r="H4834" s="611"/>
    </row>
    <row r="4835" spans="1:8" ht="12.75" customHeight="1">
      <c r="A4835" s="608">
        <v>4</v>
      </c>
      <c r="B4835" s="706" t="s">
        <v>656</v>
      </c>
      <c r="C4835" s="706"/>
      <c r="D4835" s="706"/>
      <c r="E4835" s="706"/>
      <c r="F4835" s="706"/>
      <c r="G4835" s="706"/>
      <c r="H4835" s="706"/>
    </row>
    <row r="4836" spans="1:8" ht="31.5">
      <c r="A4836" s="608" t="s">
        <v>657</v>
      </c>
      <c r="B4836" s="612" t="s">
        <v>658</v>
      </c>
      <c r="C4836" s="610" t="s">
        <v>379</v>
      </c>
      <c r="D4836" s="610" t="s">
        <v>379</v>
      </c>
      <c r="E4836" s="610" t="s">
        <v>379</v>
      </c>
      <c r="F4836" s="610" t="s">
        <v>379</v>
      </c>
      <c r="G4836" s="610" t="s">
        <v>379</v>
      </c>
      <c r="H4836" s="611" t="s">
        <v>626</v>
      </c>
    </row>
    <row r="4837" spans="1:8" ht="47.25">
      <c r="A4837" s="608" t="s">
        <v>659</v>
      </c>
      <c r="B4837" s="612" t="s">
        <v>660</v>
      </c>
      <c r="C4837" s="610" t="s">
        <v>379</v>
      </c>
      <c r="D4837" s="610" t="s">
        <v>379</v>
      </c>
      <c r="E4837" s="610" t="s">
        <v>379</v>
      </c>
      <c r="F4837" s="610" t="s">
        <v>379</v>
      </c>
      <c r="G4837" s="610" t="s">
        <v>379</v>
      </c>
      <c r="H4837" s="611" t="s">
        <v>626</v>
      </c>
    </row>
    <row r="4838" spans="1:8" ht="31.5">
      <c r="A4838" s="608" t="s">
        <v>661</v>
      </c>
      <c r="B4838" s="613" t="s">
        <v>662</v>
      </c>
      <c r="C4838" s="610" t="s">
        <v>379</v>
      </c>
      <c r="D4838" s="610" t="s">
        <v>379</v>
      </c>
      <c r="E4838" s="610" t="s">
        <v>379</v>
      </c>
      <c r="F4838" s="610" t="s">
        <v>379</v>
      </c>
      <c r="G4838" s="610" t="s">
        <v>379</v>
      </c>
      <c r="H4838" s="611" t="s">
        <v>626</v>
      </c>
    </row>
    <row r="4839" spans="1:8" ht="31.5">
      <c r="A4839" s="615" t="s">
        <v>663</v>
      </c>
      <c r="B4839" s="616" t="s">
        <v>664</v>
      </c>
      <c r="C4839" s="617" t="s">
        <v>379</v>
      </c>
      <c r="D4839" s="617" t="s">
        <v>379</v>
      </c>
      <c r="E4839" s="617" t="s">
        <v>379</v>
      </c>
      <c r="F4839" s="617" t="s">
        <v>379</v>
      </c>
      <c r="G4839" s="617" t="s">
        <v>379</v>
      </c>
      <c r="H4839" s="618" t="s">
        <v>626</v>
      </c>
    </row>
    <row r="4840" spans="1:8" ht="15.75">
      <c r="A4840" s="619"/>
      <c r="B4840" s="620"/>
      <c r="C4840" s="621"/>
      <c r="D4840" s="621"/>
      <c r="E4840" s="621"/>
      <c r="F4840" s="621"/>
      <c r="G4840" s="621"/>
      <c r="H4840" s="148"/>
    </row>
    <row r="4841" spans="1:8" ht="12.75" customHeight="1">
      <c r="A4841" s="707" t="s">
        <v>665</v>
      </c>
      <c r="B4841" s="707"/>
      <c r="C4841" s="707"/>
      <c r="D4841" s="707"/>
      <c r="E4841" s="707"/>
      <c r="F4841" s="707"/>
      <c r="G4841" s="707"/>
      <c r="H4841" s="707"/>
    </row>
    <row r="4842" spans="1:8" ht="15.75">
      <c r="A4842" s="622"/>
      <c r="B4842" s="622"/>
      <c r="C4842" s="622"/>
      <c r="D4842" s="622"/>
      <c r="E4842" s="622"/>
      <c r="F4842" s="622"/>
      <c r="G4842" s="622"/>
      <c r="H4842" s="622"/>
    </row>
    <row r="4843" spans="1:8" ht="15.75">
      <c r="A4843" s="622"/>
      <c r="B4843" s="622"/>
      <c r="C4843" s="622"/>
      <c r="D4843" s="622"/>
      <c r="E4843" s="622"/>
      <c r="F4843" s="622"/>
      <c r="G4843" s="622"/>
      <c r="H4843" s="622"/>
    </row>
    <row r="4844" ht="15.75">
      <c r="H4844" s="11" t="s">
        <v>609</v>
      </c>
    </row>
    <row r="4845" ht="15.75">
      <c r="H4845" s="11" t="s">
        <v>610</v>
      </c>
    </row>
    <row r="4846" ht="15.75">
      <c r="H4846" s="11" t="s">
        <v>611</v>
      </c>
    </row>
    <row r="4847" ht="15.75">
      <c r="H4847" s="11"/>
    </row>
    <row r="4848" spans="1:8" ht="12.75" customHeight="1">
      <c r="A4848" s="713" t="s">
        <v>612</v>
      </c>
      <c r="B4848" s="713"/>
      <c r="C4848" s="713"/>
      <c r="D4848" s="713"/>
      <c r="E4848" s="713"/>
      <c r="F4848" s="713"/>
      <c r="G4848" s="713"/>
      <c r="H4848" s="713"/>
    </row>
    <row r="4849" spans="1:8" ht="12.75" customHeight="1">
      <c r="A4849" s="713" t="s">
        <v>613</v>
      </c>
      <c r="B4849" s="713"/>
      <c r="C4849" s="713"/>
      <c r="D4849" s="713"/>
      <c r="E4849" s="713"/>
      <c r="F4849" s="713"/>
      <c r="G4849" s="713"/>
      <c r="H4849" s="713"/>
    </row>
    <row r="4850" ht="15.75">
      <c r="H4850" s="11" t="s">
        <v>43</v>
      </c>
    </row>
    <row r="4851" ht="15.75">
      <c r="H4851" s="11" t="s">
        <v>44</v>
      </c>
    </row>
    <row r="4852" ht="15.75">
      <c r="H4852" s="11" t="s">
        <v>45</v>
      </c>
    </row>
    <row r="4853" ht="15.75">
      <c r="H4853" s="594" t="s">
        <v>614</v>
      </c>
    </row>
    <row r="4854" ht="15.75">
      <c r="H4854" s="11" t="s">
        <v>615</v>
      </c>
    </row>
    <row r="4855" ht="15.75">
      <c r="H4855" s="11" t="s">
        <v>47</v>
      </c>
    </row>
    <row r="4856" ht="15.75">
      <c r="A4856" s="595"/>
    </row>
    <row r="4857" ht="15.75">
      <c r="A4857" s="3" t="s">
        <v>883</v>
      </c>
    </row>
    <row r="4858" spans="1:8" ht="12.75" customHeight="1">
      <c r="A4858" s="717" t="s">
        <v>0</v>
      </c>
      <c r="B4858" s="714"/>
      <c r="C4858" s="714"/>
      <c r="D4858" s="714"/>
      <c r="E4858" s="714"/>
      <c r="F4858" s="714"/>
      <c r="G4858" s="714"/>
      <c r="H4858" s="714"/>
    </row>
    <row r="4859" spans="1:8" ht="16.5" thickBot="1">
      <c r="A4859" s="597"/>
      <c r="B4859" s="597"/>
      <c r="C4859" s="598"/>
      <c r="D4859" s="598"/>
      <c r="E4859" s="598"/>
      <c r="F4859" s="598"/>
      <c r="G4859" s="598"/>
      <c r="H4859" s="598"/>
    </row>
    <row r="4860" spans="1:8" ht="12.75" customHeight="1">
      <c r="A4860" s="708" t="s">
        <v>617</v>
      </c>
      <c r="B4860" s="710" t="s">
        <v>618</v>
      </c>
      <c r="C4860" s="711" t="s">
        <v>619</v>
      </c>
      <c r="D4860" s="711"/>
      <c r="E4860" s="711"/>
      <c r="F4860" s="711"/>
      <c r="G4860" s="712" t="s">
        <v>620</v>
      </c>
      <c r="H4860" s="708" t="s">
        <v>621</v>
      </c>
    </row>
    <row r="4861" spans="1:8" ht="15.75">
      <c r="A4861" s="708"/>
      <c r="B4861" s="710"/>
      <c r="C4861" s="711"/>
      <c r="D4861" s="711"/>
      <c r="E4861" s="711"/>
      <c r="F4861" s="711"/>
      <c r="G4861" s="712"/>
      <c r="H4861" s="708"/>
    </row>
    <row r="4862" spans="1:8" ht="31.5">
      <c r="A4862" s="708"/>
      <c r="B4862" s="710"/>
      <c r="C4862" s="601" t="s">
        <v>622</v>
      </c>
      <c r="D4862" s="601" t="s">
        <v>623</v>
      </c>
      <c r="E4862" s="602" t="s">
        <v>622</v>
      </c>
      <c r="F4862" s="603" t="s">
        <v>623</v>
      </c>
      <c r="G4862" s="712"/>
      <c r="H4862" s="708"/>
    </row>
    <row r="4863" spans="1:8" ht="15.75">
      <c r="A4863" s="599">
        <v>1</v>
      </c>
      <c r="B4863" s="599">
        <v>2</v>
      </c>
      <c r="C4863" s="604">
        <v>3</v>
      </c>
      <c r="D4863" s="604">
        <v>4</v>
      </c>
      <c r="E4863" s="605"/>
      <c r="F4863" s="606"/>
      <c r="G4863" s="600">
        <v>5</v>
      </c>
      <c r="H4863" s="599">
        <v>6</v>
      </c>
    </row>
    <row r="4864" spans="1:8" ht="12.75" customHeight="1">
      <c r="A4864" s="607">
        <v>1</v>
      </c>
      <c r="B4864" s="709" t="s">
        <v>624</v>
      </c>
      <c r="C4864" s="709"/>
      <c r="D4864" s="709"/>
      <c r="E4864" s="709"/>
      <c r="F4864" s="709"/>
      <c r="G4864" s="709"/>
      <c r="H4864" s="709"/>
    </row>
    <row r="4865" spans="1:8" ht="15.75">
      <c r="A4865" s="608" t="s">
        <v>74</v>
      </c>
      <c r="B4865" s="609" t="s">
        <v>625</v>
      </c>
      <c r="C4865" s="610" t="s">
        <v>379</v>
      </c>
      <c r="D4865" s="610" t="s">
        <v>379</v>
      </c>
      <c r="E4865" s="610" t="s">
        <v>379</v>
      </c>
      <c r="F4865" s="610" t="s">
        <v>379</v>
      </c>
      <c r="G4865" s="610" t="s">
        <v>379</v>
      </c>
      <c r="H4865" s="611" t="s">
        <v>626</v>
      </c>
    </row>
    <row r="4866" spans="1:8" ht="15.75">
      <c r="A4866" s="608" t="s">
        <v>313</v>
      </c>
      <c r="B4866" s="609" t="s">
        <v>627</v>
      </c>
      <c r="C4866" s="610" t="s">
        <v>379</v>
      </c>
      <c r="D4866" s="610" t="s">
        <v>379</v>
      </c>
      <c r="E4866" s="610" t="s">
        <v>379</v>
      </c>
      <c r="F4866" s="610" t="s">
        <v>379</v>
      </c>
      <c r="G4866" s="610" t="s">
        <v>379</v>
      </c>
      <c r="H4866" s="611" t="s">
        <v>626</v>
      </c>
    </row>
    <row r="4867" spans="1:8" ht="31.5">
      <c r="A4867" s="608" t="s">
        <v>315</v>
      </c>
      <c r="B4867" s="612" t="s">
        <v>628</v>
      </c>
      <c r="C4867" s="610" t="s">
        <v>379</v>
      </c>
      <c r="D4867" s="610" t="s">
        <v>379</v>
      </c>
      <c r="E4867" s="610" t="s">
        <v>379</v>
      </c>
      <c r="F4867" s="610" t="s">
        <v>379</v>
      </c>
      <c r="G4867" s="610" t="s">
        <v>379</v>
      </c>
      <c r="H4867" s="611" t="s">
        <v>626</v>
      </c>
    </row>
    <row r="4868" spans="1:8" ht="47.25">
      <c r="A4868" s="608" t="s">
        <v>317</v>
      </c>
      <c r="B4868" s="612" t="s">
        <v>629</v>
      </c>
      <c r="C4868" s="610" t="s">
        <v>379</v>
      </c>
      <c r="D4868" s="610" t="s">
        <v>379</v>
      </c>
      <c r="E4868" s="610" t="s">
        <v>379</v>
      </c>
      <c r="F4868" s="610" t="s">
        <v>379</v>
      </c>
      <c r="G4868" s="610" t="s">
        <v>379</v>
      </c>
      <c r="H4868" s="611" t="s">
        <v>626</v>
      </c>
    </row>
    <row r="4869" spans="1:8" ht="15.75">
      <c r="A4869" s="608" t="s">
        <v>630</v>
      </c>
      <c r="B4869" s="613" t="s">
        <v>631</v>
      </c>
      <c r="C4869" s="610" t="s">
        <v>379</v>
      </c>
      <c r="D4869" s="610" t="s">
        <v>379</v>
      </c>
      <c r="E4869" s="610" t="s">
        <v>379</v>
      </c>
      <c r="F4869" s="610" t="s">
        <v>379</v>
      </c>
      <c r="G4869" s="610" t="s">
        <v>379</v>
      </c>
      <c r="H4869" s="611" t="s">
        <v>626</v>
      </c>
    </row>
    <row r="4870" spans="1:8" ht="15.75">
      <c r="A4870" s="608" t="s">
        <v>632</v>
      </c>
      <c r="B4870" s="613" t="s">
        <v>633</v>
      </c>
      <c r="C4870" s="610" t="s">
        <v>379</v>
      </c>
      <c r="D4870" s="610" t="s">
        <v>379</v>
      </c>
      <c r="E4870" s="610" t="s">
        <v>379</v>
      </c>
      <c r="F4870" s="610" t="s">
        <v>379</v>
      </c>
      <c r="G4870" s="610" t="s">
        <v>379</v>
      </c>
      <c r="H4870" s="611" t="s">
        <v>626</v>
      </c>
    </row>
    <row r="4871" spans="1:8" ht="12.75" customHeight="1">
      <c r="A4871" s="608">
        <v>2</v>
      </c>
      <c r="B4871" s="706" t="s">
        <v>634</v>
      </c>
      <c r="C4871" s="706"/>
      <c r="D4871" s="706"/>
      <c r="E4871" s="706"/>
      <c r="F4871" s="706"/>
      <c r="G4871" s="706"/>
      <c r="H4871" s="706"/>
    </row>
    <row r="4872" spans="1:8" ht="31.5">
      <c r="A4872" s="608" t="s">
        <v>321</v>
      </c>
      <c r="B4872" s="612" t="s">
        <v>635</v>
      </c>
      <c r="C4872" s="610" t="s">
        <v>870</v>
      </c>
      <c r="D4872" s="610" t="s">
        <v>871</v>
      </c>
      <c r="E4872" s="610" t="s">
        <v>379</v>
      </c>
      <c r="F4872" s="610" t="s">
        <v>379</v>
      </c>
      <c r="G4872" s="614">
        <v>0</v>
      </c>
      <c r="H4872" s="611"/>
    </row>
    <row r="4873" spans="1:8" ht="47.25">
      <c r="A4873" s="608" t="s">
        <v>325</v>
      </c>
      <c r="B4873" s="612" t="s">
        <v>638</v>
      </c>
      <c r="C4873" s="610" t="s">
        <v>379</v>
      </c>
      <c r="D4873" s="610" t="s">
        <v>379</v>
      </c>
      <c r="E4873" s="610" t="s">
        <v>379</v>
      </c>
      <c r="F4873" s="610" t="s">
        <v>379</v>
      </c>
      <c r="G4873" s="610" t="s">
        <v>379</v>
      </c>
      <c r="H4873" s="611" t="s">
        <v>626</v>
      </c>
    </row>
    <row r="4874" spans="1:8" ht="31.5">
      <c r="A4874" s="608" t="s">
        <v>639</v>
      </c>
      <c r="B4874" s="612" t="s">
        <v>640</v>
      </c>
      <c r="C4874" s="610" t="s">
        <v>379</v>
      </c>
      <c r="D4874" s="610" t="s">
        <v>379</v>
      </c>
      <c r="E4874" s="610" t="s">
        <v>379</v>
      </c>
      <c r="F4874" s="610" t="s">
        <v>379</v>
      </c>
      <c r="G4874" s="610" t="s">
        <v>379</v>
      </c>
      <c r="H4874" s="611" t="s">
        <v>626</v>
      </c>
    </row>
    <row r="4875" spans="1:8" ht="12.75" customHeight="1">
      <c r="A4875" s="608">
        <v>3</v>
      </c>
      <c r="B4875" s="706" t="s">
        <v>641</v>
      </c>
      <c r="C4875" s="706"/>
      <c r="D4875" s="706"/>
      <c r="E4875" s="706"/>
      <c r="F4875" s="706"/>
      <c r="G4875" s="706"/>
      <c r="H4875" s="706"/>
    </row>
    <row r="4876" spans="1:8" ht="31.5">
      <c r="A4876" s="608" t="s">
        <v>378</v>
      </c>
      <c r="B4876" s="613" t="s">
        <v>642</v>
      </c>
      <c r="C4876" s="610" t="s">
        <v>379</v>
      </c>
      <c r="D4876" s="610" t="s">
        <v>379</v>
      </c>
      <c r="E4876" s="610" t="s">
        <v>379</v>
      </c>
      <c r="F4876" s="610" t="s">
        <v>379</v>
      </c>
      <c r="G4876" s="610" t="s">
        <v>379</v>
      </c>
      <c r="H4876" s="611" t="s">
        <v>626</v>
      </c>
    </row>
    <row r="4877" spans="1:8" ht="15.75">
      <c r="A4877" s="608" t="s">
        <v>643</v>
      </c>
      <c r="B4877" s="613" t="s">
        <v>644</v>
      </c>
      <c r="C4877" s="610" t="s">
        <v>884</v>
      </c>
      <c r="D4877" s="610" t="s">
        <v>668</v>
      </c>
      <c r="E4877" s="610" t="s">
        <v>379</v>
      </c>
      <c r="F4877" s="610" t="s">
        <v>379</v>
      </c>
      <c r="G4877" s="614">
        <v>0</v>
      </c>
      <c r="H4877" s="611"/>
    </row>
    <row r="4878" spans="1:8" ht="15.75">
      <c r="A4878" s="608" t="s">
        <v>380</v>
      </c>
      <c r="B4878" s="613" t="s">
        <v>646</v>
      </c>
      <c r="C4878" s="610" t="s">
        <v>885</v>
      </c>
      <c r="D4878" s="610" t="s">
        <v>745</v>
      </c>
      <c r="E4878" s="610" t="s">
        <v>379</v>
      </c>
      <c r="F4878" s="610" t="s">
        <v>379</v>
      </c>
      <c r="G4878" s="614">
        <v>0</v>
      </c>
      <c r="H4878" s="611"/>
    </row>
    <row r="4879" spans="1:8" ht="15.75">
      <c r="A4879" s="608" t="s">
        <v>649</v>
      </c>
      <c r="B4879" s="613" t="s">
        <v>650</v>
      </c>
      <c r="C4879" s="610" t="s">
        <v>874</v>
      </c>
      <c r="D4879" s="610" t="s">
        <v>805</v>
      </c>
      <c r="E4879" s="610" t="s">
        <v>379</v>
      </c>
      <c r="F4879" s="610" t="s">
        <v>379</v>
      </c>
      <c r="G4879" s="614">
        <v>0</v>
      </c>
      <c r="H4879" s="611"/>
    </row>
    <row r="4880" spans="1:8" ht="15.75">
      <c r="A4880" s="608" t="s">
        <v>653</v>
      </c>
      <c r="B4880" s="613" t="s">
        <v>654</v>
      </c>
      <c r="C4880" s="610" t="s">
        <v>806</v>
      </c>
      <c r="D4880" s="610" t="s">
        <v>744</v>
      </c>
      <c r="E4880" s="610" t="s">
        <v>379</v>
      </c>
      <c r="F4880" s="610" t="s">
        <v>379</v>
      </c>
      <c r="G4880" s="614">
        <v>0</v>
      </c>
      <c r="H4880" s="611"/>
    </row>
    <row r="4881" spans="1:8" ht="12.75" customHeight="1">
      <c r="A4881" s="608">
        <v>4</v>
      </c>
      <c r="B4881" s="706" t="s">
        <v>656</v>
      </c>
      <c r="C4881" s="706"/>
      <c r="D4881" s="706"/>
      <c r="E4881" s="706"/>
      <c r="F4881" s="706"/>
      <c r="G4881" s="706"/>
      <c r="H4881" s="706"/>
    </row>
    <row r="4882" spans="1:8" ht="31.5">
      <c r="A4882" s="608" t="s">
        <v>657</v>
      </c>
      <c r="B4882" s="612" t="s">
        <v>658</v>
      </c>
      <c r="C4882" s="610" t="s">
        <v>379</v>
      </c>
      <c r="D4882" s="610" t="s">
        <v>379</v>
      </c>
      <c r="E4882" s="610" t="s">
        <v>379</v>
      </c>
      <c r="F4882" s="610" t="s">
        <v>379</v>
      </c>
      <c r="G4882" s="610" t="s">
        <v>379</v>
      </c>
      <c r="H4882" s="611" t="s">
        <v>626</v>
      </c>
    </row>
    <row r="4883" spans="1:8" ht="47.25">
      <c r="A4883" s="608" t="s">
        <v>659</v>
      </c>
      <c r="B4883" s="612" t="s">
        <v>660</v>
      </c>
      <c r="C4883" s="610" t="s">
        <v>379</v>
      </c>
      <c r="D4883" s="610" t="s">
        <v>379</v>
      </c>
      <c r="E4883" s="610" t="s">
        <v>379</v>
      </c>
      <c r="F4883" s="610" t="s">
        <v>379</v>
      </c>
      <c r="G4883" s="610" t="s">
        <v>379</v>
      </c>
      <c r="H4883" s="611" t="s">
        <v>626</v>
      </c>
    </row>
    <row r="4884" spans="1:8" ht="31.5">
      <c r="A4884" s="608" t="s">
        <v>661</v>
      </c>
      <c r="B4884" s="613" t="s">
        <v>662</v>
      </c>
      <c r="C4884" s="610" t="s">
        <v>379</v>
      </c>
      <c r="D4884" s="610" t="s">
        <v>379</v>
      </c>
      <c r="E4884" s="610" t="s">
        <v>379</v>
      </c>
      <c r="F4884" s="610" t="s">
        <v>379</v>
      </c>
      <c r="G4884" s="610" t="s">
        <v>379</v>
      </c>
      <c r="H4884" s="611" t="s">
        <v>626</v>
      </c>
    </row>
    <row r="4885" spans="1:8" ht="31.5">
      <c r="A4885" s="615" t="s">
        <v>663</v>
      </c>
      <c r="B4885" s="616" t="s">
        <v>664</v>
      </c>
      <c r="C4885" s="617" t="s">
        <v>379</v>
      </c>
      <c r="D4885" s="617" t="s">
        <v>379</v>
      </c>
      <c r="E4885" s="617" t="s">
        <v>379</v>
      </c>
      <c r="F4885" s="617" t="s">
        <v>379</v>
      </c>
      <c r="G4885" s="617" t="s">
        <v>379</v>
      </c>
      <c r="H4885" s="618" t="s">
        <v>626</v>
      </c>
    </row>
    <row r="4886" spans="1:8" ht="15.75">
      <c r="A4886" s="619"/>
      <c r="B4886" s="620"/>
      <c r="C4886" s="621"/>
      <c r="D4886" s="621"/>
      <c r="E4886" s="621"/>
      <c r="F4886" s="621"/>
      <c r="G4886" s="621"/>
      <c r="H4886" s="148"/>
    </row>
    <row r="4887" spans="1:8" ht="12.75" customHeight="1">
      <c r="A4887" s="707" t="s">
        <v>665</v>
      </c>
      <c r="B4887" s="707"/>
      <c r="C4887" s="707"/>
      <c r="D4887" s="707"/>
      <c r="E4887" s="707"/>
      <c r="F4887" s="707"/>
      <c r="G4887" s="707"/>
      <c r="H4887" s="707"/>
    </row>
    <row r="4888" spans="1:8" ht="15.75">
      <c r="A4888" s="622"/>
      <c r="B4888" s="622"/>
      <c r="C4888" s="622"/>
      <c r="D4888" s="622"/>
      <c r="E4888" s="622"/>
      <c r="F4888" s="622"/>
      <c r="G4888" s="622"/>
      <c r="H4888" s="622"/>
    </row>
    <row r="4889" spans="1:8" ht="15.75">
      <c r="A4889" s="622"/>
      <c r="B4889" s="622"/>
      <c r="C4889" s="622"/>
      <c r="D4889" s="622"/>
      <c r="E4889" s="622"/>
      <c r="F4889" s="622"/>
      <c r="G4889" s="622"/>
      <c r="H4889" s="622"/>
    </row>
    <row r="4890" ht="15.75">
      <c r="H4890" s="11" t="s">
        <v>609</v>
      </c>
    </row>
    <row r="4891" ht="15.75">
      <c r="H4891" s="11" t="s">
        <v>610</v>
      </c>
    </row>
    <row r="4892" ht="15.75">
      <c r="H4892" s="11" t="s">
        <v>611</v>
      </c>
    </row>
    <row r="4893" ht="15.75">
      <c r="H4893" s="11"/>
    </row>
    <row r="4894" spans="1:8" ht="12.75" customHeight="1">
      <c r="A4894" s="713" t="s">
        <v>612</v>
      </c>
      <c r="B4894" s="713"/>
      <c r="C4894" s="713"/>
      <c r="D4894" s="713"/>
      <c r="E4894" s="713"/>
      <c r="F4894" s="713"/>
      <c r="G4894" s="713"/>
      <c r="H4894" s="713"/>
    </row>
    <row r="4895" spans="1:8" ht="12.75" customHeight="1">
      <c r="A4895" s="713" t="s">
        <v>613</v>
      </c>
      <c r="B4895" s="713"/>
      <c r="C4895" s="713"/>
      <c r="D4895" s="713"/>
      <c r="E4895" s="713"/>
      <c r="F4895" s="713"/>
      <c r="G4895" s="713"/>
      <c r="H4895" s="713"/>
    </row>
    <row r="4896" ht="15.75">
      <c r="H4896" s="11" t="s">
        <v>43</v>
      </c>
    </row>
    <row r="4897" ht="15.75">
      <c r="H4897" s="11" t="s">
        <v>44</v>
      </c>
    </row>
    <row r="4898" ht="15.75">
      <c r="H4898" s="11" t="s">
        <v>45</v>
      </c>
    </row>
    <row r="4899" ht="15.75">
      <c r="H4899" s="594" t="s">
        <v>614</v>
      </c>
    </row>
    <row r="4900" ht="15.75">
      <c r="H4900" s="11" t="s">
        <v>615</v>
      </c>
    </row>
    <row r="4901" ht="15.75">
      <c r="H4901" s="11" t="s">
        <v>47</v>
      </c>
    </row>
    <row r="4902" ht="15.75">
      <c r="A4902" s="595"/>
    </row>
    <row r="4903" ht="15.75">
      <c r="A4903" s="3" t="s">
        <v>886</v>
      </c>
    </row>
    <row r="4904" spans="1:8" ht="12.75" customHeight="1">
      <c r="A4904" s="717" t="s">
        <v>0</v>
      </c>
      <c r="B4904" s="714"/>
      <c r="C4904" s="714"/>
      <c r="D4904" s="714"/>
      <c r="E4904" s="714"/>
      <c r="F4904" s="714"/>
      <c r="G4904" s="714"/>
      <c r="H4904" s="714"/>
    </row>
    <row r="4905" spans="1:8" ht="16.5" thickBot="1">
      <c r="A4905" s="597"/>
      <c r="B4905" s="597"/>
      <c r="C4905" s="598"/>
      <c r="D4905" s="598"/>
      <c r="E4905" s="598"/>
      <c r="F4905" s="598"/>
      <c r="G4905" s="598"/>
      <c r="H4905" s="598"/>
    </row>
    <row r="4906" spans="1:8" ht="12.75" customHeight="1">
      <c r="A4906" s="708" t="s">
        <v>617</v>
      </c>
      <c r="B4906" s="710" t="s">
        <v>618</v>
      </c>
      <c r="C4906" s="711" t="s">
        <v>619</v>
      </c>
      <c r="D4906" s="711"/>
      <c r="E4906" s="711"/>
      <c r="F4906" s="711"/>
      <c r="G4906" s="712" t="s">
        <v>620</v>
      </c>
      <c r="H4906" s="708" t="s">
        <v>621</v>
      </c>
    </row>
    <row r="4907" spans="1:8" ht="15.75">
      <c r="A4907" s="708"/>
      <c r="B4907" s="710"/>
      <c r="C4907" s="711"/>
      <c r="D4907" s="711"/>
      <c r="E4907" s="711"/>
      <c r="F4907" s="711"/>
      <c r="G4907" s="712"/>
      <c r="H4907" s="708"/>
    </row>
    <row r="4908" spans="1:8" ht="31.5">
      <c r="A4908" s="708"/>
      <c r="B4908" s="710"/>
      <c r="C4908" s="601" t="s">
        <v>622</v>
      </c>
      <c r="D4908" s="601" t="s">
        <v>623</v>
      </c>
      <c r="E4908" s="602" t="s">
        <v>622</v>
      </c>
      <c r="F4908" s="603" t="s">
        <v>623</v>
      </c>
      <c r="G4908" s="712"/>
      <c r="H4908" s="708"/>
    </row>
    <row r="4909" spans="1:8" ht="15.75">
      <c r="A4909" s="599">
        <v>1</v>
      </c>
      <c r="B4909" s="599">
        <v>2</v>
      </c>
      <c r="C4909" s="604">
        <v>3</v>
      </c>
      <c r="D4909" s="604">
        <v>4</v>
      </c>
      <c r="E4909" s="605"/>
      <c r="F4909" s="606"/>
      <c r="G4909" s="600">
        <v>5</v>
      </c>
      <c r="H4909" s="599">
        <v>6</v>
      </c>
    </row>
    <row r="4910" spans="1:8" ht="12.75" customHeight="1">
      <c r="A4910" s="607">
        <v>1</v>
      </c>
      <c r="B4910" s="709" t="s">
        <v>624</v>
      </c>
      <c r="C4910" s="709"/>
      <c r="D4910" s="709"/>
      <c r="E4910" s="709"/>
      <c r="F4910" s="709"/>
      <c r="G4910" s="709"/>
      <c r="H4910" s="709"/>
    </row>
    <row r="4911" spans="1:8" ht="15.75">
      <c r="A4911" s="608" t="s">
        <v>74</v>
      </c>
      <c r="B4911" s="609" t="s">
        <v>625</v>
      </c>
      <c r="C4911" s="610" t="s">
        <v>379</v>
      </c>
      <c r="D4911" s="610" t="s">
        <v>379</v>
      </c>
      <c r="E4911" s="610" t="s">
        <v>379</v>
      </c>
      <c r="F4911" s="610" t="s">
        <v>379</v>
      </c>
      <c r="G4911" s="610" t="s">
        <v>379</v>
      </c>
      <c r="H4911" s="611" t="s">
        <v>626</v>
      </c>
    </row>
    <row r="4912" spans="1:8" ht="15.75">
      <c r="A4912" s="608" t="s">
        <v>313</v>
      </c>
      <c r="B4912" s="609" t="s">
        <v>627</v>
      </c>
      <c r="C4912" s="610" t="s">
        <v>379</v>
      </c>
      <c r="D4912" s="610" t="s">
        <v>379</v>
      </c>
      <c r="E4912" s="610" t="s">
        <v>379</v>
      </c>
      <c r="F4912" s="610" t="s">
        <v>379</v>
      </c>
      <c r="G4912" s="610" t="s">
        <v>379</v>
      </c>
      <c r="H4912" s="611" t="s">
        <v>626</v>
      </c>
    </row>
    <row r="4913" spans="1:8" ht="31.5">
      <c r="A4913" s="608" t="s">
        <v>315</v>
      </c>
      <c r="B4913" s="612" t="s">
        <v>628</v>
      </c>
      <c r="C4913" s="610" t="s">
        <v>379</v>
      </c>
      <c r="D4913" s="610" t="s">
        <v>379</v>
      </c>
      <c r="E4913" s="610" t="s">
        <v>379</v>
      </c>
      <c r="F4913" s="610" t="s">
        <v>379</v>
      </c>
      <c r="G4913" s="610" t="s">
        <v>379</v>
      </c>
      <c r="H4913" s="611" t="s">
        <v>626</v>
      </c>
    </row>
    <row r="4914" spans="1:8" ht="47.25">
      <c r="A4914" s="608" t="s">
        <v>317</v>
      </c>
      <c r="B4914" s="612" t="s">
        <v>629</v>
      </c>
      <c r="C4914" s="610" t="s">
        <v>379</v>
      </c>
      <c r="D4914" s="610" t="s">
        <v>379</v>
      </c>
      <c r="E4914" s="610" t="s">
        <v>379</v>
      </c>
      <c r="F4914" s="610" t="s">
        <v>379</v>
      </c>
      <c r="G4914" s="610" t="s">
        <v>379</v>
      </c>
      <c r="H4914" s="611" t="s">
        <v>626</v>
      </c>
    </row>
    <row r="4915" spans="1:8" ht="15.75">
      <c r="A4915" s="608" t="s">
        <v>630</v>
      </c>
      <c r="B4915" s="613" t="s">
        <v>631</v>
      </c>
      <c r="C4915" s="610" t="s">
        <v>379</v>
      </c>
      <c r="D4915" s="610" t="s">
        <v>379</v>
      </c>
      <c r="E4915" s="610" t="s">
        <v>379</v>
      </c>
      <c r="F4915" s="610" t="s">
        <v>379</v>
      </c>
      <c r="G4915" s="610" t="s">
        <v>379</v>
      </c>
      <c r="H4915" s="611" t="s">
        <v>626</v>
      </c>
    </row>
    <row r="4916" spans="1:8" ht="15.75">
      <c r="A4916" s="608" t="s">
        <v>632</v>
      </c>
      <c r="B4916" s="613" t="s">
        <v>633</v>
      </c>
      <c r="C4916" s="610" t="s">
        <v>379</v>
      </c>
      <c r="D4916" s="610" t="s">
        <v>379</v>
      </c>
      <c r="E4916" s="610" t="s">
        <v>379</v>
      </c>
      <c r="F4916" s="610" t="s">
        <v>379</v>
      </c>
      <c r="G4916" s="610" t="s">
        <v>379</v>
      </c>
      <c r="H4916" s="611" t="s">
        <v>626</v>
      </c>
    </row>
    <row r="4917" spans="1:8" ht="12.75" customHeight="1">
      <c r="A4917" s="608">
        <v>2</v>
      </c>
      <c r="B4917" s="706" t="s">
        <v>634</v>
      </c>
      <c r="C4917" s="706"/>
      <c r="D4917" s="706"/>
      <c r="E4917" s="706"/>
      <c r="F4917" s="706"/>
      <c r="G4917" s="706"/>
      <c r="H4917" s="706"/>
    </row>
    <row r="4918" spans="1:8" ht="31.5">
      <c r="A4918" s="608" t="s">
        <v>321</v>
      </c>
      <c r="B4918" s="612" t="s">
        <v>635</v>
      </c>
      <c r="C4918" s="610" t="s">
        <v>870</v>
      </c>
      <c r="D4918" s="610" t="s">
        <v>871</v>
      </c>
      <c r="E4918" s="610" t="s">
        <v>379</v>
      </c>
      <c r="F4918" s="610" t="s">
        <v>379</v>
      </c>
      <c r="G4918" s="614">
        <v>0</v>
      </c>
      <c r="H4918" s="611"/>
    </row>
    <row r="4919" spans="1:8" ht="47.25">
      <c r="A4919" s="608" t="s">
        <v>325</v>
      </c>
      <c r="B4919" s="612" t="s">
        <v>638</v>
      </c>
      <c r="C4919" s="610" t="s">
        <v>379</v>
      </c>
      <c r="D4919" s="610" t="s">
        <v>379</v>
      </c>
      <c r="E4919" s="610" t="s">
        <v>379</v>
      </c>
      <c r="F4919" s="610" t="s">
        <v>379</v>
      </c>
      <c r="G4919" s="610" t="s">
        <v>379</v>
      </c>
      <c r="H4919" s="611" t="s">
        <v>626</v>
      </c>
    </row>
    <row r="4920" spans="1:8" ht="31.5">
      <c r="A4920" s="608" t="s">
        <v>639</v>
      </c>
      <c r="B4920" s="612" t="s">
        <v>640</v>
      </c>
      <c r="C4920" s="610" t="s">
        <v>379</v>
      </c>
      <c r="D4920" s="610" t="s">
        <v>379</v>
      </c>
      <c r="E4920" s="610" t="s">
        <v>379</v>
      </c>
      <c r="F4920" s="610" t="s">
        <v>379</v>
      </c>
      <c r="G4920" s="610" t="s">
        <v>379</v>
      </c>
      <c r="H4920" s="611" t="s">
        <v>626</v>
      </c>
    </row>
    <row r="4921" spans="1:8" ht="12.75" customHeight="1">
      <c r="A4921" s="608">
        <v>3</v>
      </c>
      <c r="B4921" s="706" t="s">
        <v>641</v>
      </c>
      <c r="C4921" s="706"/>
      <c r="D4921" s="706"/>
      <c r="E4921" s="706"/>
      <c r="F4921" s="706"/>
      <c r="G4921" s="706"/>
      <c r="H4921" s="706"/>
    </row>
    <row r="4922" spans="1:8" ht="31.5">
      <c r="A4922" s="608" t="s">
        <v>378</v>
      </c>
      <c r="B4922" s="613" t="s">
        <v>642</v>
      </c>
      <c r="C4922" s="610" t="s">
        <v>379</v>
      </c>
      <c r="D4922" s="610" t="s">
        <v>379</v>
      </c>
      <c r="E4922" s="610" t="s">
        <v>379</v>
      </c>
      <c r="F4922" s="610" t="s">
        <v>379</v>
      </c>
      <c r="G4922" s="610" t="s">
        <v>379</v>
      </c>
      <c r="H4922" s="611" t="s">
        <v>626</v>
      </c>
    </row>
    <row r="4923" spans="1:8" ht="15.75">
      <c r="A4923" s="608" t="s">
        <v>643</v>
      </c>
      <c r="B4923" s="613" t="s">
        <v>644</v>
      </c>
      <c r="C4923" s="610" t="s">
        <v>872</v>
      </c>
      <c r="D4923" s="610" t="s">
        <v>873</v>
      </c>
      <c r="E4923" s="610" t="s">
        <v>379</v>
      </c>
      <c r="F4923" s="610" t="s">
        <v>379</v>
      </c>
      <c r="G4923" s="614">
        <v>0</v>
      </c>
      <c r="H4923" s="611"/>
    </row>
    <row r="4924" spans="1:8" ht="15.75">
      <c r="A4924" s="608" t="s">
        <v>380</v>
      </c>
      <c r="B4924" s="613" t="s">
        <v>646</v>
      </c>
      <c r="C4924" s="610" t="s">
        <v>874</v>
      </c>
      <c r="D4924" s="610" t="s">
        <v>875</v>
      </c>
      <c r="E4924" s="610" t="s">
        <v>379</v>
      </c>
      <c r="F4924" s="610" t="s">
        <v>379</v>
      </c>
      <c r="G4924" s="614">
        <v>0</v>
      </c>
      <c r="H4924" s="611"/>
    </row>
    <row r="4925" spans="1:8" ht="15.75">
      <c r="A4925" s="608" t="s">
        <v>649</v>
      </c>
      <c r="B4925" s="613" t="s">
        <v>650</v>
      </c>
      <c r="C4925" s="610" t="s">
        <v>817</v>
      </c>
      <c r="D4925" s="610" t="s">
        <v>805</v>
      </c>
      <c r="E4925" s="610" t="s">
        <v>379</v>
      </c>
      <c r="F4925" s="610" t="s">
        <v>379</v>
      </c>
      <c r="G4925" s="614">
        <v>0</v>
      </c>
      <c r="H4925" s="611"/>
    </row>
    <row r="4926" spans="1:8" ht="15.75">
      <c r="A4926" s="608" t="s">
        <v>653</v>
      </c>
      <c r="B4926" s="613" t="s">
        <v>654</v>
      </c>
      <c r="C4926" s="610" t="s">
        <v>806</v>
      </c>
      <c r="D4926" s="610" t="s">
        <v>744</v>
      </c>
      <c r="E4926" s="610" t="s">
        <v>379</v>
      </c>
      <c r="F4926" s="610" t="s">
        <v>379</v>
      </c>
      <c r="G4926" s="614">
        <v>0</v>
      </c>
      <c r="H4926" s="611"/>
    </row>
    <row r="4927" spans="1:8" ht="12.75" customHeight="1">
      <c r="A4927" s="608">
        <v>4</v>
      </c>
      <c r="B4927" s="706" t="s">
        <v>656</v>
      </c>
      <c r="C4927" s="706"/>
      <c r="D4927" s="706"/>
      <c r="E4927" s="706"/>
      <c r="F4927" s="706"/>
      <c r="G4927" s="706"/>
      <c r="H4927" s="706"/>
    </row>
    <row r="4928" spans="1:8" ht="31.5">
      <c r="A4928" s="608" t="s">
        <v>657</v>
      </c>
      <c r="B4928" s="612" t="s">
        <v>658</v>
      </c>
      <c r="C4928" s="610" t="s">
        <v>379</v>
      </c>
      <c r="D4928" s="610" t="s">
        <v>379</v>
      </c>
      <c r="E4928" s="610" t="s">
        <v>379</v>
      </c>
      <c r="F4928" s="610" t="s">
        <v>379</v>
      </c>
      <c r="G4928" s="610" t="s">
        <v>379</v>
      </c>
      <c r="H4928" s="611" t="s">
        <v>626</v>
      </c>
    </row>
    <row r="4929" spans="1:8" ht="47.25">
      <c r="A4929" s="608" t="s">
        <v>659</v>
      </c>
      <c r="B4929" s="612" t="s">
        <v>660</v>
      </c>
      <c r="C4929" s="610" t="s">
        <v>379</v>
      </c>
      <c r="D4929" s="610" t="s">
        <v>379</v>
      </c>
      <c r="E4929" s="610" t="s">
        <v>379</v>
      </c>
      <c r="F4929" s="610" t="s">
        <v>379</v>
      </c>
      <c r="G4929" s="610" t="s">
        <v>379</v>
      </c>
      <c r="H4929" s="611" t="s">
        <v>626</v>
      </c>
    </row>
    <row r="4930" spans="1:8" ht="31.5">
      <c r="A4930" s="608" t="s">
        <v>661</v>
      </c>
      <c r="B4930" s="613" t="s">
        <v>662</v>
      </c>
      <c r="C4930" s="610" t="s">
        <v>379</v>
      </c>
      <c r="D4930" s="610" t="s">
        <v>379</v>
      </c>
      <c r="E4930" s="610" t="s">
        <v>379</v>
      </c>
      <c r="F4930" s="610" t="s">
        <v>379</v>
      </c>
      <c r="G4930" s="610" t="s">
        <v>379</v>
      </c>
      <c r="H4930" s="611" t="s">
        <v>626</v>
      </c>
    </row>
    <row r="4931" spans="1:8" ht="31.5">
      <c r="A4931" s="615" t="s">
        <v>663</v>
      </c>
      <c r="B4931" s="616" t="s">
        <v>664</v>
      </c>
      <c r="C4931" s="617" t="s">
        <v>379</v>
      </c>
      <c r="D4931" s="617" t="s">
        <v>379</v>
      </c>
      <c r="E4931" s="617" t="s">
        <v>379</v>
      </c>
      <c r="F4931" s="617" t="s">
        <v>379</v>
      </c>
      <c r="G4931" s="617" t="s">
        <v>379</v>
      </c>
      <c r="H4931" s="618" t="s">
        <v>626</v>
      </c>
    </row>
    <row r="4932" spans="1:8" ht="15.75">
      <c r="A4932" s="619"/>
      <c r="B4932" s="620"/>
      <c r="C4932" s="621"/>
      <c r="D4932" s="621"/>
      <c r="E4932" s="621"/>
      <c r="F4932" s="621"/>
      <c r="G4932" s="621"/>
      <c r="H4932" s="148"/>
    </row>
    <row r="4933" spans="1:8" ht="12.75" customHeight="1">
      <c r="A4933" s="707" t="s">
        <v>665</v>
      </c>
      <c r="B4933" s="707"/>
      <c r="C4933" s="707"/>
      <c r="D4933" s="707"/>
      <c r="E4933" s="707"/>
      <c r="F4933" s="707"/>
      <c r="G4933" s="707"/>
      <c r="H4933" s="707"/>
    </row>
    <row r="4934" spans="1:8" ht="15.75">
      <c r="A4934" s="622"/>
      <c r="B4934" s="622"/>
      <c r="C4934" s="622"/>
      <c r="D4934" s="622"/>
      <c r="E4934" s="622"/>
      <c r="F4934" s="622"/>
      <c r="G4934" s="622"/>
      <c r="H4934" s="622"/>
    </row>
    <row r="4935" spans="1:8" ht="15.75">
      <c r="A4935" s="622"/>
      <c r="B4935" s="622"/>
      <c r="C4935" s="622"/>
      <c r="D4935" s="622"/>
      <c r="E4935" s="622"/>
      <c r="F4935" s="622"/>
      <c r="G4935" s="622"/>
      <c r="H4935" s="622"/>
    </row>
    <row r="4936" ht="15.75">
      <c r="H4936" s="11" t="s">
        <v>609</v>
      </c>
    </row>
    <row r="4937" ht="15.75">
      <c r="H4937" s="11" t="s">
        <v>610</v>
      </c>
    </row>
    <row r="4938" ht="15.75">
      <c r="H4938" s="11" t="s">
        <v>611</v>
      </c>
    </row>
    <row r="4939" ht="15.75">
      <c r="H4939" s="11"/>
    </row>
    <row r="4940" spans="1:8" ht="12.75" customHeight="1">
      <c r="A4940" s="713" t="s">
        <v>612</v>
      </c>
      <c r="B4940" s="713"/>
      <c r="C4940" s="713"/>
      <c r="D4940" s="713"/>
      <c r="E4940" s="713"/>
      <c r="F4940" s="713"/>
      <c r="G4940" s="713"/>
      <c r="H4940" s="713"/>
    </row>
    <row r="4941" spans="1:8" ht="12.75" customHeight="1">
      <c r="A4941" s="713" t="s">
        <v>613</v>
      </c>
      <c r="B4941" s="713"/>
      <c r="C4941" s="713"/>
      <c r="D4941" s="713"/>
      <c r="E4941" s="713"/>
      <c r="F4941" s="713"/>
      <c r="G4941" s="713"/>
      <c r="H4941" s="713"/>
    </row>
    <row r="4942" ht="15.75">
      <c r="H4942" s="11" t="s">
        <v>43</v>
      </c>
    </row>
    <row r="4943" ht="15.75">
      <c r="H4943" s="11" t="s">
        <v>44</v>
      </c>
    </row>
    <row r="4944" ht="15.75">
      <c r="H4944" s="11" t="s">
        <v>45</v>
      </c>
    </row>
    <row r="4945" ht="15.75">
      <c r="H4945" s="594" t="s">
        <v>614</v>
      </c>
    </row>
    <row r="4946" ht="15.75">
      <c r="H4946" s="11" t="s">
        <v>615</v>
      </c>
    </row>
    <row r="4947" ht="15.75">
      <c r="H4947" s="11" t="s">
        <v>47</v>
      </c>
    </row>
    <row r="4948" ht="15.75">
      <c r="A4948" s="595"/>
    </row>
    <row r="4949" ht="15.75">
      <c r="A4949" s="3" t="s">
        <v>887</v>
      </c>
    </row>
    <row r="4950" spans="1:8" ht="12.75" customHeight="1">
      <c r="A4950" s="717" t="s">
        <v>0</v>
      </c>
      <c r="B4950" s="714"/>
      <c r="C4950" s="714"/>
      <c r="D4950" s="714"/>
      <c r="E4950" s="714"/>
      <c r="F4950" s="714"/>
      <c r="G4950" s="714"/>
      <c r="H4950" s="714"/>
    </row>
    <row r="4951" spans="1:8" ht="16.5" thickBot="1">
      <c r="A4951" s="597"/>
      <c r="B4951" s="597"/>
      <c r="C4951" s="598"/>
      <c r="D4951" s="598"/>
      <c r="E4951" s="598"/>
      <c r="F4951" s="598"/>
      <c r="G4951" s="598"/>
      <c r="H4951" s="598"/>
    </row>
    <row r="4952" spans="1:8" ht="12.75" customHeight="1">
      <c r="A4952" s="708" t="s">
        <v>617</v>
      </c>
      <c r="B4952" s="710" t="s">
        <v>618</v>
      </c>
      <c r="C4952" s="711" t="s">
        <v>619</v>
      </c>
      <c r="D4952" s="711"/>
      <c r="E4952" s="711"/>
      <c r="F4952" s="711"/>
      <c r="G4952" s="712" t="s">
        <v>620</v>
      </c>
      <c r="H4952" s="708" t="s">
        <v>621</v>
      </c>
    </row>
    <row r="4953" spans="1:8" ht="15.75">
      <c r="A4953" s="708"/>
      <c r="B4953" s="710"/>
      <c r="C4953" s="711"/>
      <c r="D4953" s="711"/>
      <c r="E4953" s="711"/>
      <c r="F4953" s="711"/>
      <c r="G4953" s="712"/>
      <c r="H4953" s="708"/>
    </row>
    <row r="4954" spans="1:8" ht="31.5">
      <c r="A4954" s="708"/>
      <c r="B4954" s="710"/>
      <c r="C4954" s="601" t="s">
        <v>622</v>
      </c>
      <c r="D4954" s="601" t="s">
        <v>623</v>
      </c>
      <c r="E4954" s="602" t="s">
        <v>622</v>
      </c>
      <c r="F4954" s="603" t="s">
        <v>623</v>
      </c>
      <c r="G4954" s="712"/>
      <c r="H4954" s="708"/>
    </row>
    <row r="4955" spans="1:8" ht="15.75">
      <c r="A4955" s="599">
        <v>1</v>
      </c>
      <c r="B4955" s="599">
        <v>2</v>
      </c>
      <c r="C4955" s="604">
        <v>3</v>
      </c>
      <c r="D4955" s="604">
        <v>4</v>
      </c>
      <c r="E4955" s="605"/>
      <c r="F4955" s="606"/>
      <c r="G4955" s="600">
        <v>5</v>
      </c>
      <c r="H4955" s="599">
        <v>6</v>
      </c>
    </row>
    <row r="4956" spans="1:8" ht="12.75" customHeight="1">
      <c r="A4956" s="607">
        <v>1</v>
      </c>
      <c r="B4956" s="709" t="s">
        <v>624</v>
      </c>
      <c r="C4956" s="709"/>
      <c r="D4956" s="709"/>
      <c r="E4956" s="709"/>
      <c r="F4956" s="709"/>
      <c r="G4956" s="709"/>
      <c r="H4956" s="709"/>
    </row>
    <row r="4957" spans="1:8" ht="15.75">
      <c r="A4957" s="608" t="s">
        <v>74</v>
      </c>
      <c r="B4957" s="609" t="s">
        <v>625</v>
      </c>
      <c r="C4957" s="610" t="s">
        <v>379</v>
      </c>
      <c r="D4957" s="610" t="s">
        <v>379</v>
      </c>
      <c r="E4957" s="610" t="s">
        <v>379</v>
      </c>
      <c r="F4957" s="610" t="s">
        <v>379</v>
      </c>
      <c r="G4957" s="610" t="s">
        <v>379</v>
      </c>
      <c r="H4957" s="611" t="s">
        <v>626</v>
      </c>
    </row>
    <row r="4958" spans="1:8" ht="15.75">
      <c r="A4958" s="608" t="s">
        <v>313</v>
      </c>
      <c r="B4958" s="609" t="s">
        <v>627</v>
      </c>
      <c r="C4958" s="610" t="s">
        <v>379</v>
      </c>
      <c r="D4958" s="610" t="s">
        <v>379</v>
      </c>
      <c r="E4958" s="610" t="s">
        <v>379</v>
      </c>
      <c r="F4958" s="610" t="s">
        <v>379</v>
      </c>
      <c r="G4958" s="610" t="s">
        <v>379</v>
      </c>
      <c r="H4958" s="611" t="s">
        <v>626</v>
      </c>
    </row>
    <row r="4959" spans="1:8" ht="31.5">
      <c r="A4959" s="608" t="s">
        <v>315</v>
      </c>
      <c r="B4959" s="612" t="s">
        <v>628</v>
      </c>
      <c r="C4959" s="610" t="s">
        <v>379</v>
      </c>
      <c r="D4959" s="610" t="s">
        <v>379</v>
      </c>
      <c r="E4959" s="610" t="s">
        <v>379</v>
      </c>
      <c r="F4959" s="610" t="s">
        <v>379</v>
      </c>
      <c r="G4959" s="610" t="s">
        <v>379</v>
      </c>
      <c r="H4959" s="611" t="s">
        <v>626</v>
      </c>
    </row>
    <row r="4960" spans="1:8" ht="47.25">
      <c r="A4960" s="608" t="s">
        <v>317</v>
      </c>
      <c r="B4960" s="612" t="s">
        <v>629</v>
      </c>
      <c r="C4960" s="610" t="s">
        <v>379</v>
      </c>
      <c r="D4960" s="610" t="s">
        <v>379</v>
      </c>
      <c r="E4960" s="610" t="s">
        <v>379</v>
      </c>
      <c r="F4960" s="610" t="s">
        <v>379</v>
      </c>
      <c r="G4960" s="610" t="s">
        <v>379</v>
      </c>
      <c r="H4960" s="611" t="s">
        <v>626</v>
      </c>
    </row>
    <row r="4961" spans="1:8" ht="15.75">
      <c r="A4961" s="608" t="s">
        <v>630</v>
      </c>
      <c r="B4961" s="613" t="s">
        <v>631</v>
      </c>
      <c r="C4961" s="610" t="s">
        <v>379</v>
      </c>
      <c r="D4961" s="610" t="s">
        <v>379</v>
      </c>
      <c r="E4961" s="610" t="s">
        <v>379</v>
      </c>
      <c r="F4961" s="610" t="s">
        <v>379</v>
      </c>
      <c r="G4961" s="610" t="s">
        <v>379</v>
      </c>
      <c r="H4961" s="611" t="s">
        <v>626</v>
      </c>
    </row>
    <row r="4962" spans="1:8" ht="15.75">
      <c r="A4962" s="608" t="s">
        <v>632</v>
      </c>
      <c r="B4962" s="613" t="s">
        <v>633</v>
      </c>
      <c r="C4962" s="610" t="s">
        <v>379</v>
      </c>
      <c r="D4962" s="610" t="s">
        <v>379</v>
      </c>
      <c r="E4962" s="610" t="s">
        <v>379</v>
      </c>
      <c r="F4962" s="610" t="s">
        <v>379</v>
      </c>
      <c r="G4962" s="610" t="s">
        <v>379</v>
      </c>
      <c r="H4962" s="611" t="s">
        <v>626</v>
      </c>
    </row>
    <row r="4963" spans="1:8" ht="12.75" customHeight="1">
      <c r="A4963" s="608">
        <v>2</v>
      </c>
      <c r="B4963" s="706" t="s">
        <v>634</v>
      </c>
      <c r="C4963" s="706"/>
      <c r="D4963" s="706"/>
      <c r="E4963" s="706"/>
      <c r="F4963" s="706"/>
      <c r="G4963" s="706"/>
      <c r="H4963" s="706"/>
    </row>
    <row r="4964" spans="1:8" ht="31.5">
      <c r="A4964" s="608" t="s">
        <v>321</v>
      </c>
      <c r="B4964" s="612" t="s">
        <v>635</v>
      </c>
      <c r="C4964" s="610" t="s">
        <v>870</v>
      </c>
      <c r="D4964" s="610" t="s">
        <v>871</v>
      </c>
      <c r="E4964" s="610" t="s">
        <v>379</v>
      </c>
      <c r="F4964" s="610" t="s">
        <v>379</v>
      </c>
      <c r="G4964" s="614">
        <v>0</v>
      </c>
      <c r="H4964" s="611"/>
    </row>
    <row r="4965" spans="1:8" ht="47.25">
      <c r="A4965" s="608" t="s">
        <v>325</v>
      </c>
      <c r="B4965" s="612" t="s">
        <v>638</v>
      </c>
      <c r="C4965" s="610" t="s">
        <v>379</v>
      </c>
      <c r="D4965" s="610" t="s">
        <v>379</v>
      </c>
      <c r="E4965" s="610" t="s">
        <v>379</v>
      </c>
      <c r="F4965" s="610" t="s">
        <v>379</v>
      </c>
      <c r="G4965" s="610" t="s">
        <v>379</v>
      </c>
      <c r="H4965" s="611" t="s">
        <v>626</v>
      </c>
    </row>
    <row r="4966" spans="1:8" ht="31.5">
      <c r="A4966" s="608" t="s">
        <v>639</v>
      </c>
      <c r="B4966" s="612" t="s">
        <v>640</v>
      </c>
      <c r="C4966" s="610" t="s">
        <v>379</v>
      </c>
      <c r="D4966" s="610" t="s">
        <v>379</v>
      </c>
      <c r="E4966" s="610" t="s">
        <v>379</v>
      </c>
      <c r="F4966" s="610" t="s">
        <v>379</v>
      </c>
      <c r="G4966" s="610" t="s">
        <v>379</v>
      </c>
      <c r="H4966" s="611" t="s">
        <v>626</v>
      </c>
    </row>
    <row r="4967" spans="1:8" ht="12.75" customHeight="1">
      <c r="A4967" s="608">
        <v>3</v>
      </c>
      <c r="B4967" s="706" t="s">
        <v>641</v>
      </c>
      <c r="C4967" s="706"/>
      <c r="D4967" s="706"/>
      <c r="E4967" s="706"/>
      <c r="F4967" s="706"/>
      <c r="G4967" s="706"/>
      <c r="H4967" s="706"/>
    </row>
    <row r="4968" spans="1:8" ht="31.5">
      <c r="A4968" s="608" t="s">
        <v>378</v>
      </c>
      <c r="B4968" s="613" t="s">
        <v>642</v>
      </c>
      <c r="C4968" s="610" t="s">
        <v>379</v>
      </c>
      <c r="D4968" s="610" t="s">
        <v>379</v>
      </c>
      <c r="E4968" s="610" t="s">
        <v>379</v>
      </c>
      <c r="F4968" s="610" t="s">
        <v>379</v>
      </c>
      <c r="G4968" s="610" t="s">
        <v>379</v>
      </c>
      <c r="H4968" s="611" t="s">
        <v>626</v>
      </c>
    </row>
    <row r="4969" spans="1:8" ht="15.75">
      <c r="A4969" s="608" t="s">
        <v>643</v>
      </c>
      <c r="B4969" s="613" t="s">
        <v>644</v>
      </c>
      <c r="C4969" s="610" t="s">
        <v>872</v>
      </c>
      <c r="D4969" s="610" t="s">
        <v>873</v>
      </c>
      <c r="E4969" s="610" t="s">
        <v>379</v>
      </c>
      <c r="F4969" s="610" t="s">
        <v>379</v>
      </c>
      <c r="G4969" s="614">
        <v>0</v>
      </c>
      <c r="H4969" s="611"/>
    </row>
    <row r="4970" spans="1:8" ht="15.75">
      <c r="A4970" s="608" t="s">
        <v>380</v>
      </c>
      <c r="B4970" s="613" t="s">
        <v>646</v>
      </c>
      <c r="C4970" s="610" t="s">
        <v>874</v>
      </c>
      <c r="D4970" s="610" t="s">
        <v>875</v>
      </c>
      <c r="E4970" s="610" t="s">
        <v>379</v>
      </c>
      <c r="F4970" s="610" t="s">
        <v>379</v>
      </c>
      <c r="G4970" s="614">
        <v>0</v>
      </c>
      <c r="H4970" s="611"/>
    </row>
    <row r="4971" spans="1:8" ht="15.75">
      <c r="A4971" s="608" t="s">
        <v>649</v>
      </c>
      <c r="B4971" s="613" t="s">
        <v>650</v>
      </c>
      <c r="C4971" s="610" t="s">
        <v>817</v>
      </c>
      <c r="D4971" s="610" t="s">
        <v>805</v>
      </c>
      <c r="E4971" s="610" t="s">
        <v>379</v>
      </c>
      <c r="F4971" s="610" t="s">
        <v>379</v>
      </c>
      <c r="G4971" s="614">
        <v>0</v>
      </c>
      <c r="H4971" s="611"/>
    </row>
    <row r="4972" spans="1:8" ht="15.75">
      <c r="A4972" s="608" t="s">
        <v>653</v>
      </c>
      <c r="B4972" s="613" t="s">
        <v>654</v>
      </c>
      <c r="C4972" s="610" t="s">
        <v>806</v>
      </c>
      <c r="D4972" s="610" t="s">
        <v>744</v>
      </c>
      <c r="E4972" s="610" t="s">
        <v>379</v>
      </c>
      <c r="F4972" s="610" t="s">
        <v>379</v>
      </c>
      <c r="G4972" s="614">
        <v>0</v>
      </c>
      <c r="H4972" s="611"/>
    </row>
    <row r="4973" spans="1:8" ht="12.75" customHeight="1">
      <c r="A4973" s="608">
        <v>4</v>
      </c>
      <c r="B4973" s="706" t="s">
        <v>656</v>
      </c>
      <c r="C4973" s="706"/>
      <c r="D4973" s="706"/>
      <c r="E4973" s="706"/>
      <c r="F4973" s="706"/>
      <c r="G4973" s="706"/>
      <c r="H4973" s="706"/>
    </row>
    <row r="4974" spans="1:8" ht="31.5">
      <c r="A4974" s="608" t="s">
        <v>657</v>
      </c>
      <c r="B4974" s="612" t="s">
        <v>658</v>
      </c>
      <c r="C4974" s="610" t="s">
        <v>379</v>
      </c>
      <c r="D4974" s="610" t="s">
        <v>379</v>
      </c>
      <c r="E4974" s="610" t="s">
        <v>379</v>
      </c>
      <c r="F4974" s="610" t="s">
        <v>379</v>
      </c>
      <c r="G4974" s="610" t="s">
        <v>379</v>
      </c>
      <c r="H4974" s="611" t="s">
        <v>626</v>
      </c>
    </row>
    <row r="4975" spans="1:8" ht="47.25">
      <c r="A4975" s="608" t="s">
        <v>659</v>
      </c>
      <c r="B4975" s="612" t="s">
        <v>660</v>
      </c>
      <c r="C4975" s="610" t="s">
        <v>379</v>
      </c>
      <c r="D4975" s="610" t="s">
        <v>379</v>
      </c>
      <c r="E4975" s="610" t="s">
        <v>379</v>
      </c>
      <c r="F4975" s="610" t="s">
        <v>379</v>
      </c>
      <c r="G4975" s="610" t="s">
        <v>379</v>
      </c>
      <c r="H4975" s="611" t="s">
        <v>626</v>
      </c>
    </row>
    <row r="4976" spans="1:8" ht="31.5">
      <c r="A4976" s="608" t="s">
        <v>661</v>
      </c>
      <c r="B4976" s="613" t="s">
        <v>662</v>
      </c>
      <c r="C4976" s="610" t="s">
        <v>379</v>
      </c>
      <c r="D4976" s="610" t="s">
        <v>379</v>
      </c>
      <c r="E4976" s="610" t="s">
        <v>379</v>
      </c>
      <c r="F4976" s="610" t="s">
        <v>379</v>
      </c>
      <c r="G4976" s="610" t="s">
        <v>379</v>
      </c>
      <c r="H4976" s="611" t="s">
        <v>626</v>
      </c>
    </row>
    <row r="4977" spans="1:8" ht="31.5">
      <c r="A4977" s="615" t="s">
        <v>663</v>
      </c>
      <c r="B4977" s="616" t="s">
        <v>664</v>
      </c>
      <c r="C4977" s="617" t="s">
        <v>379</v>
      </c>
      <c r="D4977" s="617" t="s">
        <v>379</v>
      </c>
      <c r="E4977" s="617" t="s">
        <v>379</v>
      </c>
      <c r="F4977" s="617" t="s">
        <v>379</v>
      </c>
      <c r="G4977" s="617" t="s">
        <v>379</v>
      </c>
      <c r="H4977" s="618" t="s">
        <v>626</v>
      </c>
    </row>
    <row r="4978" spans="1:8" ht="15.75">
      <c r="A4978" s="619"/>
      <c r="B4978" s="620"/>
      <c r="C4978" s="621"/>
      <c r="D4978" s="621"/>
      <c r="E4978" s="621"/>
      <c r="F4978" s="621"/>
      <c r="G4978" s="621"/>
      <c r="H4978" s="148"/>
    </row>
    <row r="4979" spans="1:8" ht="12.75" customHeight="1">
      <c r="A4979" s="707" t="s">
        <v>665</v>
      </c>
      <c r="B4979" s="707"/>
      <c r="C4979" s="707"/>
      <c r="D4979" s="707"/>
      <c r="E4979" s="707"/>
      <c r="F4979" s="707"/>
      <c r="G4979" s="707"/>
      <c r="H4979" s="707"/>
    </row>
    <row r="4980" spans="1:8" ht="15.75">
      <c r="A4980" s="622"/>
      <c r="B4980" s="622"/>
      <c r="C4980" s="622"/>
      <c r="D4980" s="622"/>
      <c r="E4980" s="622"/>
      <c r="F4980" s="622"/>
      <c r="G4980" s="622"/>
      <c r="H4980" s="622"/>
    </row>
    <row r="4981" spans="1:8" ht="15.75">
      <c r="A4981" s="622"/>
      <c r="B4981" s="622"/>
      <c r="C4981" s="622"/>
      <c r="D4981" s="622"/>
      <c r="E4981" s="622"/>
      <c r="F4981" s="622"/>
      <c r="G4981" s="622"/>
      <c r="H4981" s="622"/>
    </row>
    <row r="4982" ht="15.75">
      <c r="H4982" s="11" t="s">
        <v>609</v>
      </c>
    </row>
    <row r="4983" ht="15.75">
      <c r="H4983" s="11" t="s">
        <v>610</v>
      </c>
    </row>
    <row r="4984" ht="15.75">
      <c r="H4984" s="11" t="s">
        <v>611</v>
      </c>
    </row>
    <row r="4985" ht="15.75">
      <c r="H4985" s="11"/>
    </row>
    <row r="4986" spans="1:8" ht="12.75" customHeight="1">
      <c r="A4986" s="713" t="s">
        <v>612</v>
      </c>
      <c r="B4986" s="713"/>
      <c r="C4986" s="713"/>
      <c r="D4986" s="713"/>
      <c r="E4986" s="713"/>
      <c r="F4986" s="713"/>
      <c r="G4986" s="713"/>
      <c r="H4986" s="713"/>
    </row>
    <row r="4987" spans="1:8" ht="12.75" customHeight="1">
      <c r="A4987" s="713" t="s">
        <v>613</v>
      </c>
      <c r="B4987" s="713"/>
      <c r="C4987" s="713"/>
      <c r="D4987" s="713"/>
      <c r="E4987" s="713"/>
      <c r="F4987" s="713"/>
      <c r="G4987" s="713"/>
      <c r="H4987" s="713"/>
    </row>
    <row r="4988" ht="15.75">
      <c r="H4988" s="11" t="s">
        <v>43</v>
      </c>
    </row>
    <row r="4989" ht="15.75">
      <c r="H4989" s="11" t="s">
        <v>44</v>
      </c>
    </row>
    <row r="4990" ht="15.75">
      <c r="H4990" s="11" t="s">
        <v>45</v>
      </c>
    </row>
    <row r="4991" ht="15.75">
      <c r="H4991" s="594" t="s">
        <v>614</v>
      </c>
    </row>
    <row r="4992" ht="15.75">
      <c r="H4992" s="11" t="s">
        <v>615</v>
      </c>
    </row>
    <row r="4993" ht="15.75">
      <c r="H4993" s="11" t="s">
        <v>47</v>
      </c>
    </row>
    <row r="4994" ht="15.75">
      <c r="A4994" s="595"/>
    </row>
    <row r="4995" ht="15.75">
      <c r="A4995" s="3" t="s">
        <v>888</v>
      </c>
    </row>
    <row r="4996" spans="1:8" ht="12.75" customHeight="1">
      <c r="A4996" s="717" t="s">
        <v>0</v>
      </c>
      <c r="B4996" s="714"/>
      <c r="C4996" s="714"/>
      <c r="D4996" s="714"/>
      <c r="E4996" s="714"/>
      <c r="F4996" s="714"/>
      <c r="G4996" s="714"/>
      <c r="H4996" s="714"/>
    </row>
    <row r="4997" spans="1:8" ht="16.5" thickBot="1">
      <c r="A4997" s="597"/>
      <c r="B4997" s="597"/>
      <c r="C4997" s="598"/>
      <c r="D4997" s="598"/>
      <c r="E4997" s="598"/>
      <c r="F4997" s="598"/>
      <c r="G4997" s="598"/>
      <c r="H4997" s="598"/>
    </row>
    <row r="4998" spans="1:8" ht="12.75" customHeight="1">
      <c r="A4998" s="708" t="s">
        <v>617</v>
      </c>
      <c r="B4998" s="710" t="s">
        <v>618</v>
      </c>
      <c r="C4998" s="711" t="s">
        <v>619</v>
      </c>
      <c r="D4998" s="711"/>
      <c r="E4998" s="711"/>
      <c r="F4998" s="711"/>
      <c r="G4998" s="712" t="s">
        <v>620</v>
      </c>
      <c r="H4998" s="708" t="s">
        <v>621</v>
      </c>
    </row>
    <row r="4999" spans="1:8" ht="15.75">
      <c r="A4999" s="708"/>
      <c r="B4999" s="710"/>
      <c r="C4999" s="711"/>
      <c r="D4999" s="711"/>
      <c r="E4999" s="711"/>
      <c r="F4999" s="711"/>
      <c r="G4999" s="712"/>
      <c r="H4999" s="708"/>
    </row>
    <row r="5000" spans="1:8" ht="31.5">
      <c r="A5000" s="708"/>
      <c r="B5000" s="710"/>
      <c r="C5000" s="601" t="s">
        <v>622</v>
      </c>
      <c r="D5000" s="601" t="s">
        <v>623</v>
      </c>
      <c r="E5000" s="602" t="s">
        <v>622</v>
      </c>
      <c r="F5000" s="603" t="s">
        <v>623</v>
      </c>
      <c r="G5000" s="712"/>
      <c r="H5000" s="708"/>
    </row>
    <row r="5001" spans="1:8" ht="15.75">
      <c r="A5001" s="599">
        <v>1</v>
      </c>
      <c r="B5001" s="599">
        <v>2</v>
      </c>
      <c r="C5001" s="604">
        <v>3</v>
      </c>
      <c r="D5001" s="604">
        <v>4</v>
      </c>
      <c r="E5001" s="605"/>
      <c r="F5001" s="606"/>
      <c r="G5001" s="600">
        <v>5</v>
      </c>
      <c r="H5001" s="599">
        <v>6</v>
      </c>
    </row>
    <row r="5002" spans="1:8" ht="12.75" customHeight="1">
      <c r="A5002" s="607">
        <v>1</v>
      </c>
      <c r="B5002" s="709" t="s">
        <v>624</v>
      </c>
      <c r="C5002" s="709"/>
      <c r="D5002" s="709"/>
      <c r="E5002" s="709"/>
      <c r="F5002" s="709"/>
      <c r="G5002" s="709"/>
      <c r="H5002" s="709"/>
    </row>
    <row r="5003" spans="1:8" ht="15.75">
      <c r="A5003" s="608" t="s">
        <v>74</v>
      </c>
      <c r="B5003" s="609" t="s">
        <v>625</v>
      </c>
      <c r="C5003" s="610" t="s">
        <v>379</v>
      </c>
      <c r="D5003" s="610" t="s">
        <v>379</v>
      </c>
      <c r="E5003" s="610" t="s">
        <v>379</v>
      </c>
      <c r="F5003" s="610" t="s">
        <v>379</v>
      </c>
      <c r="G5003" s="610" t="s">
        <v>379</v>
      </c>
      <c r="H5003" s="611" t="s">
        <v>626</v>
      </c>
    </row>
    <row r="5004" spans="1:8" ht="15.75">
      <c r="A5004" s="608" t="s">
        <v>313</v>
      </c>
      <c r="B5004" s="609" t="s">
        <v>627</v>
      </c>
      <c r="C5004" s="610" t="s">
        <v>379</v>
      </c>
      <c r="D5004" s="610" t="s">
        <v>379</v>
      </c>
      <c r="E5004" s="610" t="s">
        <v>379</v>
      </c>
      <c r="F5004" s="610" t="s">
        <v>379</v>
      </c>
      <c r="G5004" s="610" t="s">
        <v>379</v>
      </c>
      <c r="H5004" s="611" t="s">
        <v>626</v>
      </c>
    </row>
    <row r="5005" spans="1:8" ht="31.5">
      <c r="A5005" s="608" t="s">
        <v>315</v>
      </c>
      <c r="B5005" s="612" t="s">
        <v>628</v>
      </c>
      <c r="C5005" s="610" t="s">
        <v>379</v>
      </c>
      <c r="D5005" s="610" t="s">
        <v>379</v>
      </c>
      <c r="E5005" s="610" t="s">
        <v>379</v>
      </c>
      <c r="F5005" s="610" t="s">
        <v>379</v>
      </c>
      <c r="G5005" s="610" t="s">
        <v>379</v>
      </c>
      <c r="H5005" s="611" t="s">
        <v>626</v>
      </c>
    </row>
    <row r="5006" spans="1:8" ht="47.25">
      <c r="A5006" s="608" t="s">
        <v>317</v>
      </c>
      <c r="B5006" s="612" t="s">
        <v>629</v>
      </c>
      <c r="C5006" s="610" t="s">
        <v>379</v>
      </c>
      <c r="D5006" s="610" t="s">
        <v>379</v>
      </c>
      <c r="E5006" s="610" t="s">
        <v>379</v>
      </c>
      <c r="F5006" s="610" t="s">
        <v>379</v>
      </c>
      <c r="G5006" s="610" t="s">
        <v>379</v>
      </c>
      <c r="H5006" s="611" t="s">
        <v>626</v>
      </c>
    </row>
    <row r="5007" spans="1:8" ht="15.75">
      <c r="A5007" s="608" t="s">
        <v>630</v>
      </c>
      <c r="B5007" s="613" t="s">
        <v>631</v>
      </c>
      <c r="C5007" s="610" t="s">
        <v>379</v>
      </c>
      <c r="D5007" s="610" t="s">
        <v>379</v>
      </c>
      <c r="E5007" s="610" t="s">
        <v>379</v>
      </c>
      <c r="F5007" s="610" t="s">
        <v>379</v>
      </c>
      <c r="G5007" s="610" t="s">
        <v>379</v>
      </c>
      <c r="H5007" s="611" t="s">
        <v>626</v>
      </c>
    </row>
    <row r="5008" spans="1:8" ht="15.75">
      <c r="A5008" s="608" t="s">
        <v>632</v>
      </c>
      <c r="B5008" s="613" t="s">
        <v>633</v>
      </c>
      <c r="C5008" s="610" t="s">
        <v>379</v>
      </c>
      <c r="D5008" s="610" t="s">
        <v>379</v>
      </c>
      <c r="E5008" s="610" t="s">
        <v>379</v>
      </c>
      <c r="F5008" s="610" t="s">
        <v>379</v>
      </c>
      <c r="G5008" s="610" t="s">
        <v>379</v>
      </c>
      <c r="H5008" s="611" t="s">
        <v>626</v>
      </c>
    </row>
    <row r="5009" spans="1:8" ht="12.75" customHeight="1">
      <c r="A5009" s="608">
        <v>2</v>
      </c>
      <c r="B5009" s="706" t="s">
        <v>634</v>
      </c>
      <c r="C5009" s="706"/>
      <c r="D5009" s="706"/>
      <c r="E5009" s="706"/>
      <c r="F5009" s="706"/>
      <c r="G5009" s="706"/>
      <c r="H5009" s="706"/>
    </row>
    <row r="5010" spans="1:8" ht="31.5">
      <c r="A5010" s="608" t="s">
        <v>321</v>
      </c>
      <c r="B5010" s="612" t="s">
        <v>635</v>
      </c>
      <c r="C5010" s="610" t="s">
        <v>870</v>
      </c>
      <c r="D5010" s="610" t="s">
        <v>871</v>
      </c>
      <c r="E5010" s="610" t="s">
        <v>379</v>
      </c>
      <c r="F5010" s="610" t="s">
        <v>379</v>
      </c>
      <c r="G5010" s="614">
        <v>0</v>
      </c>
      <c r="H5010" s="611"/>
    </row>
    <row r="5011" spans="1:8" ht="47.25">
      <c r="A5011" s="608" t="s">
        <v>325</v>
      </c>
      <c r="B5011" s="612" t="s">
        <v>638</v>
      </c>
      <c r="C5011" s="610" t="s">
        <v>379</v>
      </c>
      <c r="D5011" s="610" t="s">
        <v>379</v>
      </c>
      <c r="E5011" s="610" t="s">
        <v>379</v>
      </c>
      <c r="F5011" s="610" t="s">
        <v>379</v>
      </c>
      <c r="G5011" s="610" t="s">
        <v>379</v>
      </c>
      <c r="H5011" s="611" t="s">
        <v>626</v>
      </c>
    </row>
    <row r="5012" spans="1:8" ht="31.5">
      <c r="A5012" s="608" t="s">
        <v>639</v>
      </c>
      <c r="B5012" s="612" t="s">
        <v>640</v>
      </c>
      <c r="C5012" s="610" t="s">
        <v>379</v>
      </c>
      <c r="D5012" s="610" t="s">
        <v>379</v>
      </c>
      <c r="E5012" s="610" t="s">
        <v>379</v>
      </c>
      <c r="F5012" s="610" t="s">
        <v>379</v>
      </c>
      <c r="G5012" s="610" t="s">
        <v>379</v>
      </c>
      <c r="H5012" s="611" t="s">
        <v>626</v>
      </c>
    </row>
    <row r="5013" spans="1:8" ht="12.75" customHeight="1">
      <c r="A5013" s="608">
        <v>3</v>
      </c>
      <c r="B5013" s="706" t="s">
        <v>641</v>
      </c>
      <c r="C5013" s="706"/>
      <c r="D5013" s="706"/>
      <c r="E5013" s="706"/>
      <c r="F5013" s="706"/>
      <c r="G5013" s="706"/>
      <c r="H5013" s="706"/>
    </row>
    <row r="5014" spans="1:8" ht="31.5">
      <c r="A5014" s="608" t="s">
        <v>378</v>
      </c>
      <c r="B5014" s="613" t="s">
        <v>642</v>
      </c>
      <c r="C5014" s="610" t="s">
        <v>379</v>
      </c>
      <c r="D5014" s="610" t="s">
        <v>379</v>
      </c>
      <c r="E5014" s="610" t="s">
        <v>379</v>
      </c>
      <c r="F5014" s="610" t="s">
        <v>379</v>
      </c>
      <c r="G5014" s="610" t="s">
        <v>379</v>
      </c>
      <c r="H5014" s="611" t="s">
        <v>626</v>
      </c>
    </row>
    <row r="5015" spans="1:8" ht="15.75">
      <c r="A5015" s="608" t="s">
        <v>643</v>
      </c>
      <c r="B5015" s="613" t="s">
        <v>644</v>
      </c>
      <c r="C5015" s="610" t="s">
        <v>872</v>
      </c>
      <c r="D5015" s="610" t="s">
        <v>873</v>
      </c>
      <c r="E5015" s="610" t="s">
        <v>379</v>
      </c>
      <c r="F5015" s="610" t="s">
        <v>379</v>
      </c>
      <c r="G5015" s="614">
        <v>0</v>
      </c>
      <c r="H5015" s="611"/>
    </row>
    <row r="5016" spans="1:8" ht="15.75">
      <c r="A5016" s="608" t="s">
        <v>380</v>
      </c>
      <c r="B5016" s="613" t="s">
        <v>646</v>
      </c>
      <c r="C5016" s="610" t="s">
        <v>874</v>
      </c>
      <c r="D5016" s="610" t="s">
        <v>875</v>
      </c>
      <c r="E5016" s="610" t="s">
        <v>379</v>
      </c>
      <c r="F5016" s="610" t="s">
        <v>379</v>
      </c>
      <c r="G5016" s="614">
        <v>0</v>
      </c>
      <c r="H5016" s="611"/>
    </row>
    <row r="5017" spans="1:8" ht="15.75">
      <c r="A5017" s="608" t="s">
        <v>649</v>
      </c>
      <c r="B5017" s="613" t="s">
        <v>650</v>
      </c>
      <c r="C5017" s="610" t="s">
        <v>817</v>
      </c>
      <c r="D5017" s="610" t="s">
        <v>805</v>
      </c>
      <c r="E5017" s="610" t="s">
        <v>379</v>
      </c>
      <c r="F5017" s="610" t="s">
        <v>379</v>
      </c>
      <c r="G5017" s="614">
        <v>0</v>
      </c>
      <c r="H5017" s="611"/>
    </row>
    <row r="5018" spans="1:8" ht="15.75">
      <c r="A5018" s="608" t="s">
        <v>653</v>
      </c>
      <c r="B5018" s="613" t="s">
        <v>654</v>
      </c>
      <c r="C5018" s="610" t="s">
        <v>806</v>
      </c>
      <c r="D5018" s="610" t="s">
        <v>744</v>
      </c>
      <c r="E5018" s="610" t="s">
        <v>379</v>
      </c>
      <c r="F5018" s="610" t="s">
        <v>379</v>
      </c>
      <c r="G5018" s="614">
        <v>0</v>
      </c>
      <c r="H5018" s="611"/>
    </row>
    <row r="5019" spans="1:8" ht="12.75" customHeight="1">
      <c r="A5019" s="608">
        <v>4</v>
      </c>
      <c r="B5019" s="706" t="s">
        <v>656</v>
      </c>
      <c r="C5019" s="706"/>
      <c r="D5019" s="706"/>
      <c r="E5019" s="706"/>
      <c r="F5019" s="706"/>
      <c r="G5019" s="706"/>
      <c r="H5019" s="706"/>
    </row>
    <row r="5020" spans="1:8" ht="31.5">
      <c r="A5020" s="608" t="s">
        <v>657</v>
      </c>
      <c r="B5020" s="612" t="s">
        <v>658</v>
      </c>
      <c r="C5020" s="610" t="s">
        <v>379</v>
      </c>
      <c r="D5020" s="610" t="s">
        <v>379</v>
      </c>
      <c r="E5020" s="610" t="s">
        <v>379</v>
      </c>
      <c r="F5020" s="610" t="s">
        <v>379</v>
      </c>
      <c r="G5020" s="610" t="s">
        <v>379</v>
      </c>
      <c r="H5020" s="611" t="s">
        <v>626</v>
      </c>
    </row>
    <row r="5021" spans="1:8" ht="47.25">
      <c r="A5021" s="608" t="s">
        <v>659</v>
      </c>
      <c r="B5021" s="612" t="s">
        <v>660</v>
      </c>
      <c r="C5021" s="610" t="s">
        <v>379</v>
      </c>
      <c r="D5021" s="610" t="s">
        <v>379</v>
      </c>
      <c r="E5021" s="610" t="s">
        <v>379</v>
      </c>
      <c r="F5021" s="610" t="s">
        <v>379</v>
      </c>
      <c r="G5021" s="610" t="s">
        <v>379</v>
      </c>
      <c r="H5021" s="611" t="s">
        <v>626</v>
      </c>
    </row>
    <row r="5022" spans="1:8" ht="31.5">
      <c r="A5022" s="608" t="s">
        <v>661</v>
      </c>
      <c r="B5022" s="613" t="s">
        <v>662</v>
      </c>
      <c r="C5022" s="610" t="s">
        <v>379</v>
      </c>
      <c r="D5022" s="610" t="s">
        <v>379</v>
      </c>
      <c r="E5022" s="610" t="s">
        <v>379</v>
      </c>
      <c r="F5022" s="610" t="s">
        <v>379</v>
      </c>
      <c r="G5022" s="610" t="s">
        <v>379</v>
      </c>
      <c r="H5022" s="611" t="s">
        <v>626</v>
      </c>
    </row>
    <row r="5023" spans="1:8" ht="31.5">
      <c r="A5023" s="615" t="s">
        <v>663</v>
      </c>
      <c r="B5023" s="616" t="s">
        <v>664</v>
      </c>
      <c r="C5023" s="617" t="s">
        <v>379</v>
      </c>
      <c r="D5023" s="617" t="s">
        <v>379</v>
      </c>
      <c r="E5023" s="617" t="s">
        <v>379</v>
      </c>
      <c r="F5023" s="617" t="s">
        <v>379</v>
      </c>
      <c r="G5023" s="617" t="s">
        <v>379</v>
      </c>
      <c r="H5023" s="618" t="s">
        <v>626</v>
      </c>
    </row>
    <row r="5024" spans="1:8" ht="15.75">
      <c r="A5024" s="619"/>
      <c r="B5024" s="620"/>
      <c r="C5024" s="621"/>
      <c r="D5024" s="621"/>
      <c r="E5024" s="621"/>
      <c r="F5024" s="621"/>
      <c r="G5024" s="621"/>
      <c r="H5024" s="148"/>
    </row>
    <row r="5025" spans="1:8" ht="12.75" customHeight="1">
      <c r="A5025" s="707" t="s">
        <v>665</v>
      </c>
      <c r="B5025" s="707"/>
      <c r="C5025" s="707"/>
      <c r="D5025" s="707"/>
      <c r="E5025" s="707"/>
      <c r="F5025" s="707"/>
      <c r="G5025" s="707"/>
      <c r="H5025" s="707"/>
    </row>
    <row r="5026" spans="1:8" ht="15.75">
      <c r="A5026" s="622"/>
      <c r="B5026" s="622"/>
      <c r="C5026" s="622"/>
      <c r="D5026" s="622"/>
      <c r="E5026" s="622"/>
      <c r="F5026" s="622"/>
      <c r="G5026" s="622"/>
      <c r="H5026" s="622"/>
    </row>
    <row r="5027" spans="1:8" ht="15.75">
      <c r="A5027" s="622"/>
      <c r="B5027" s="622"/>
      <c r="C5027" s="622"/>
      <c r="D5027" s="622"/>
      <c r="E5027" s="622"/>
      <c r="F5027" s="622"/>
      <c r="G5027" s="622"/>
      <c r="H5027" s="622"/>
    </row>
    <row r="5028" ht="15.75">
      <c r="H5028" s="11" t="s">
        <v>609</v>
      </c>
    </row>
    <row r="5029" ht="15.75">
      <c r="H5029" s="11" t="s">
        <v>610</v>
      </c>
    </row>
    <row r="5030" ht="15.75">
      <c r="H5030" s="11" t="s">
        <v>611</v>
      </c>
    </row>
    <row r="5031" ht="15.75">
      <c r="H5031" s="11"/>
    </row>
    <row r="5032" spans="1:8" ht="12.75" customHeight="1">
      <c r="A5032" s="713" t="s">
        <v>612</v>
      </c>
      <c r="B5032" s="713"/>
      <c r="C5032" s="713"/>
      <c r="D5032" s="713"/>
      <c r="E5032" s="713"/>
      <c r="F5032" s="713"/>
      <c r="G5032" s="713"/>
      <c r="H5032" s="713"/>
    </row>
    <row r="5033" spans="1:8" ht="12.75" customHeight="1">
      <c r="A5033" s="713" t="s">
        <v>613</v>
      </c>
      <c r="B5033" s="713"/>
      <c r="C5033" s="713"/>
      <c r="D5033" s="713"/>
      <c r="E5033" s="713"/>
      <c r="F5033" s="713"/>
      <c r="G5033" s="713"/>
      <c r="H5033" s="713"/>
    </row>
    <row r="5034" ht="15.75">
      <c r="H5034" s="11" t="s">
        <v>43</v>
      </c>
    </row>
    <row r="5035" ht="15.75">
      <c r="H5035" s="11" t="s">
        <v>44</v>
      </c>
    </row>
    <row r="5036" ht="15.75">
      <c r="H5036" s="11" t="s">
        <v>45</v>
      </c>
    </row>
    <row r="5037" ht="15.75">
      <c r="H5037" s="594" t="s">
        <v>614</v>
      </c>
    </row>
    <row r="5038" ht="15.75">
      <c r="H5038" s="11" t="s">
        <v>615</v>
      </c>
    </row>
    <row r="5039" ht="15.75">
      <c r="H5039" s="11" t="s">
        <v>47</v>
      </c>
    </row>
    <row r="5040" ht="15.75">
      <c r="A5040" s="595"/>
    </row>
    <row r="5041" ht="15.75">
      <c r="A5041" s="3" t="s">
        <v>889</v>
      </c>
    </row>
    <row r="5042" spans="1:8" ht="12.75" customHeight="1">
      <c r="A5042" s="717" t="s">
        <v>0</v>
      </c>
      <c r="B5042" s="714"/>
      <c r="C5042" s="714"/>
      <c r="D5042" s="714"/>
      <c r="E5042" s="714"/>
      <c r="F5042" s="714"/>
      <c r="G5042" s="714"/>
      <c r="H5042" s="714"/>
    </row>
    <row r="5043" spans="1:8" ht="16.5" thickBot="1">
      <c r="A5043" s="597"/>
      <c r="B5043" s="597"/>
      <c r="C5043" s="598"/>
      <c r="D5043" s="598"/>
      <c r="E5043" s="598"/>
      <c r="F5043" s="598"/>
      <c r="G5043" s="598"/>
      <c r="H5043" s="598"/>
    </row>
    <row r="5044" spans="1:8" ht="12.75" customHeight="1">
      <c r="A5044" s="708" t="s">
        <v>617</v>
      </c>
      <c r="B5044" s="710" t="s">
        <v>618</v>
      </c>
      <c r="C5044" s="711" t="s">
        <v>619</v>
      </c>
      <c r="D5044" s="711"/>
      <c r="E5044" s="711"/>
      <c r="F5044" s="711"/>
      <c r="G5044" s="712" t="s">
        <v>620</v>
      </c>
      <c r="H5044" s="708" t="s">
        <v>621</v>
      </c>
    </row>
    <row r="5045" spans="1:8" ht="15.75">
      <c r="A5045" s="708"/>
      <c r="B5045" s="710"/>
      <c r="C5045" s="711"/>
      <c r="D5045" s="711"/>
      <c r="E5045" s="711"/>
      <c r="F5045" s="711"/>
      <c r="G5045" s="712"/>
      <c r="H5045" s="708"/>
    </row>
    <row r="5046" spans="1:8" ht="31.5">
      <c r="A5046" s="708"/>
      <c r="B5046" s="710"/>
      <c r="C5046" s="601" t="s">
        <v>622</v>
      </c>
      <c r="D5046" s="601" t="s">
        <v>623</v>
      </c>
      <c r="E5046" s="602" t="s">
        <v>622</v>
      </c>
      <c r="F5046" s="603" t="s">
        <v>623</v>
      </c>
      <c r="G5046" s="712"/>
      <c r="H5046" s="708"/>
    </row>
    <row r="5047" spans="1:8" ht="15.75">
      <c r="A5047" s="599">
        <v>1</v>
      </c>
      <c r="B5047" s="599">
        <v>2</v>
      </c>
      <c r="C5047" s="604">
        <v>3</v>
      </c>
      <c r="D5047" s="604">
        <v>4</v>
      </c>
      <c r="E5047" s="605"/>
      <c r="F5047" s="606"/>
      <c r="G5047" s="600">
        <v>5</v>
      </c>
      <c r="H5047" s="599">
        <v>6</v>
      </c>
    </row>
    <row r="5048" spans="1:8" ht="12.75" customHeight="1">
      <c r="A5048" s="607">
        <v>1</v>
      </c>
      <c r="B5048" s="709" t="s">
        <v>624</v>
      </c>
      <c r="C5048" s="709"/>
      <c r="D5048" s="709"/>
      <c r="E5048" s="709"/>
      <c r="F5048" s="709"/>
      <c r="G5048" s="709"/>
      <c r="H5048" s="709"/>
    </row>
    <row r="5049" spans="1:8" ht="15.75">
      <c r="A5049" s="608" t="s">
        <v>74</v>
      </c>
      <c r="B5049" s="609" t="s">
        <v>625</v>
      </c>
      <c r="C5049" s="610" t="s">
        <v>379</v>
      </c>
      <c r="D5049" s="610" t="s">
        <v>379</v>
      </c>
      <c r="E5049" s="610" t="s">
        <v>379</v>
      </c>
      <c r="F5049" s="610" t="s">
        <v>379</v>
      </c>
      <c r="G5049" s="610" t="s">
        <v>379</v>
      </c>
      <c r="H5049" s="611" t="s">
        <v>626</v>
      </c>
    </row>
    <row r="5050" spans="1:8" ht="15.75">
      <c r="A5050" s="608" t="s">
        <v>313</v>
      </c>
      <c r="B5050" s="609" t="s">
        <v>627</v>
      </c>
      <c r="C5050" s="610" t="s">
        <v>379</v>
      </c>
      <c r="D5050" s="610" t="s">
        <v>379</v>
      </c>
      <c r="E5050" s="610" t="s">
        <v>379</v>
      </c>
      <c r="F5050" s="610" t="s">
        <v>379</v>
      </c>
      <c r="G5050" s="610" t="s">
        <v>379</v>
      </c>
      <c r="H5050" s="611" t="s">
        <v>626</v>
      </c>
    </row>
    <row r="5051" spans="1:8" ht="31.5">
      <c r="A5051" s="608" t="s">
        <v>315</v>
      </c>
      <c r="B5051" s="612" t="s">
        <v>628</v>
      </c>
      <c r="C5051" s="610" t="s">
        <v>379</v>
      </c>
      <c r="D5051" s="610" t="s">
        <v>379</v>
      </c>
      <c r="E5051" s="610" t="s">
        <v>379</v>
      </c>
      <c r="F5051" s="610" t="s">
        <v>379</v>
      </c>
      <c r="G5051" s="610" t="s">
        <v>379</v>
      </c>
      <c r="H5051" s="611" t="s">
        <v>626</v>
      </c>
    </row>
    <row r="5052" spans="1:8" ht="47.25">
      <c r="A5052" s="608" t="s">
        <v>317</v>
      </c>
      <c r="B5052" s="612" t="s">
        <v>629</v>
      </c>
      <c r="C5052" s="610" t="s">
        <v>379</v>
      </c>
      <c r="D5052" s="610" t="s">
        <v>379</v>
      </c>
      <c r="E5052" s="610" t="s">
        <v>379</v>
      </c>
      <c r="F5052" s="610" t="s">
        <v>379</v>
      </c>
      <c r="G5052" s="610" t="s">
        <v>379</v>
      </c>
      <c r="H5052" s="611" t="s">
        <v>626</v>
      </c>
    </row>
    <row r="5053" spans="1:8" ht="15.75">
      <c r="A5053" s="608" t="s">
        <v>630</v>
      </c>
      <c r="B5053" s="613" t="s">
        <v>631</v>
      </c>
      <c r="C5053" s="610" t="s">
        <v>379</v>
      </c>
      <c r="D5053" s="610" t="s">
        <v>379</v>
      </c>
      <c r="E5053" s="610" t="s">
        <v>379</v>
      </c>
      <c r="F5053" s="610" t="s">
        <v>379</v>
      </c>
      <c r="G5053" s="610" t="s">
        <v>379</v>
      </c>
      <c r="H5053" s="611" t="s">
        <v>626</v>
      </c>
    </row>
    <row r="5054" spans="1:8" ht="15.75">
      <c r="A5054" s="608" t="s">
        <v>632</v>
      </c>
      <c r="B5054" s="613" t="s">
        <v>633</v>
      </c>
      <c r="C5054" s="610" t="s">
        <v>379</v>
      </c>
      <c r="D5054" s="610" t="s">
        <v>379</v>
      </c>
      <c r="E5054" s="610" t="s">
        <v>379</v>
      </c>
      <c r="F5054" s="610" t="s">
        <v>379</v>
      </c>
      <c r="G5054" s="610" t="s">
        <v>379</v>
      </c>
      <c r="H5054" s="611" t="s">
        <v>626</v>
      </c>
    </row>
    <row r="5055" spans="1:8" ht="12.75" customHeight="1">
      <c r="A5055" s="608">
        <v>2</v>
      </c>
      <c r="B5055" s="706" t="s">
        <v>634</v>
      </c>
      <c r="C5055" s="706"/>
      <c r="D5055" s="706"/>
      <c r="E5055" s="706"/>
      <c r="F5055" s="706"/>
      <c r="G5055" s="706"/>
      <c r="H5055" s="706"/>
    </row>
    <row r="5056" spans="1:8" ht="31.5">
      <c r="A5056" s="608" t="s">
        <v>321</v>
      </c>
      <c r="B5056" s="612" t="s">
        <v>635</v>
      </c>
      <c r="C5056" s="610" t="s">
        <v>870</v>
      </c>
      <c r="D5056" s="610" t="s">
        <v>667</v>
      </c>
      <c r="E5056" s="610" t="s">
        <v>379</v>
      </c>
      <c r="F5056" s="610" t="s">
        <v>379</v>
      </c>
      <c r="G5056" s="614">
        <v>0</v>
      </c>
      <c r="H5056" s="611"/>
    </row>
    <row r="5057" spans="1:8" ht="47.25">
      <c r="A5057" s="608" t="s">
        <v>325</v>
      </c>
      <c r="B5057" s="612" t="s">
        <v>638</v>
      </c>
      <c r="C5057" s="610" t="s">
        <v>379</v>
      </c>
      <c r="D5057" s="610" t="s">
        <v>379</v>
      </c>
      <c r="E5057" s="610" t="s">
        <v>379</v>
      </c>
      <c r="F5057" s="610" t="s">
        <v>379</v>
      </c>
      <c r="G5057" s="610" t="s">
        <v>379</v>
      </c>
      <c r="H5057" s="611" t="s">
        <v>626</v>
      </c>
    </row>
    <row r="5058" spans="1:8" ht="31.5">
      <c r="A5058" s="608" t="s">
        <v>639</v>
      </c>
      <c r="B5058" s="612" t="s">
        <v>640</v>
      </c>
      <c r="C5058" s="610" t="s">
        <v>379</v>
      </c>
      <c r="D5058" s="610" t="s">
        <v>379</v>
      </c>
      <c r="E5058" s="610" t="s">
        <v>379</v>
      </c>
      <c r="F5058" s="610" t="s">
        <v>379</v>
      </c>
      <c r="G5058" s="610" t="s">
        <v>379</v>
      </c>
      <c r="H5058" s="611" t="s">
        <v>626</v>
      </c>
    </row>
    <row r="5059" spans="1:8" ht="12.75" customHeight="1">
      <c r="A5059" s="608">
        <v>3</v>
      </c>
      <c r="B5059" s="706" t="s">
        <v>641</v>
      </c>
      <c r="C5059" s="706"/>
      <c r="D5059" s="706"/>
      <c r="E5059" s="706"/>
      <c r="F5059" s="706"/>
      <c r="G5059" s="706"/>
      <c r="H5059" s="706"/>
    </row>
    <row r="5060" spans="1:8" ht="31.5">
      <c r="A5060" s="608" t="s">
        <v>378</v>
      </c>
      <c r="B5060" s="613" t="s">
        <v>642</v>
      </c>
      <c r="C5060" s="610" t="s">
        <v>379</v>
      </c>
      <c r="D5060" s="610" t="s">
        <v>379</v>
      </c>
      <c r="E5060" s="610" t="s">
        <v>379</v>
      </c>
      <c r="F5060" s="610" t="s">
        <v>379</v>
      </c>
      <c r="G5060" s="610" t="s">
        <v>379</v>
      </c>
      <c r="H5060" s="611" t="s">
        <v>626</v>
      </c>
    </row>
    <row r="5061" spans="1:8" ht="15.75">
      <c r="A5061" s="608" t="s">
        <v>643</v>
      </c>
      <c r="B5061" s="613" t="s">
        <v>644</v>
      </c>
      <c r="C5061" s="610" t="s">
        <v>890</v>
      </c>
      <c r="D5061" s="610" t="s">
        <v>891</v>
      </c>
      <c r="E5061" s="610" t="s">
        <v>379</v>
      </c>
      <c r="F5061" s="610" t="s">
        <v>379</v>
      </c>
      <c r="G5061" s="614">
        <v>0</v>
      </c>
      <c r="H5061" s="611"/>
    </row>
    <row r="5062" spans="1:8" ht="15.75">
      <c r="A5062" s="608" t="s">
        <v>380</v>
      </c>
      <c r="B5062" s="613" t="s">
        <v>646</v>
      </c>
      <c r="C5062" s="610" t="s">
        <v>864</v>
      </c>
      <c r="D5062" s="610" t="s">
        <v>892</v>
      </c>
      <c r="E5062" s="610" t="s">
        <v>379</v>
      </c>
      <c r="F5062" s="610" t="s">
        <v>379</v>
      </c>
      <c r="G5062" s="614">
        <v>0</v>
      </c>
      <c r="H5062" s="611"/>
    </row>
    <row r="5063" spans="1:8" ht="15.75">
      <c r="A5063" s="608" t="s">
        <v>649</v>
      </c>
      <c r="B5063" s="613" t="s">
        <v>650</v>
      </c>
      <c r="C5063" s="610" t="s">
        <v>893</v>
      </c>
      <c r="D5063" s="610" t="s">
        <v>885</v>
      </c>
      <c r="E5063" s="610" t="s">
        <v>379</v>
      </c>
      <c r="F5063" s="610" t="s">
        <v>379</v>
      </c>
      <c r="G5063" s="614">
        <v>0</v>
      </c>
      <c r="H5063" s="611"/>
    </row>
    <row r="5064" spans="1:8" ht="15.75">
      <c r="A5064" s="608" t="s">
        <v>653</v>
      </c>
      <c r="B5064" s="613" t="s">
        <v>654</v>
      </c>
      <c r="C5064" s="610" t="s">
        <v>885</v>
      </c>
      <c r="D5064" s="610" t="s">
        <v>894</v>
      </c>
      <c r="E5064" s="610" t="s">
        <v>379</v>
      </c>
      <c r="F5064" s="610" t="s">
        <v>379</v>
      </c>
      <c r="G5064" s="614">
        <v>0</v>
      </c>
      <c r="H5064" s="611"/>
    </row>
    <row r="5065" spans="1:8" ht="12.75" customHeight="1">
      <c r="A5065" s="608">
        <v>4</v>
      </c>
      <c r="B5065" s="706" t="s">
        <v>656</v>
      </c>
      <c r="C5065" s="706"/>
      <c r="D5065" s="706"/>
      <c r="E5065" s="706"/>
      <c r="F5065" s="706"/>
      <c r="G5065" s="706"/>
      <c r="H5065" s="706"/>
    </row>
    <row r="5066" spans="1:8" ht="31.5">
      <c r="A5066" s="608" t="s">
        <v>657</v>
      </c>
      <c r="B5066" s="612" t="s">
        <v>658</v>
      </c>
      <c r="C5066" s="610" t="s">
        <v>379</v>
      </c>
      <c r="D5066" s="610" t="s">
        <v>379</v>
      </c>
      <c r="E5066" s="610" t="s">
        <v>379</v>
      </c>
      <c r="F5066" s="610" t="s">
        <v>379</v>
      </c>
      <c r="G5066" s="610" t="s">
        <v>379</v>
      </c>
      <c r="H5066" s="611" t="s">
        <v>626</v>
      </c>
    </row>
    <row r="5067" spans="1:8" ht="47.25">
      <c r="A5067" s="608" t="s">
        <v>659</v>
      </c>
      <c r="B5067" s="612" t="s">
        <v>660</v>
      </c>
      <c r="C5067" s="610" t="s">
        <v>379</v>
      </c>
      <c r="D5067" s="610" t="s">
        <v>379</v>
      </c>
      <c r="E5067" s="610" t="s">
        <v>379</v>
      </c>
      <c r="F5067" s="610" t="s">
        <v>379</v>
      </c>
      <c r="G5067" s="610" t="s">
        <v>379</v>
      </c>
      <c r="H5067" s="611" t="s">
        <v>626</v>
      </c>
    </row>
    <row r="5068" spans="1:8" ht="31.5">
      <c r="A5068" s="608" t="s">
        <v>661</v>
      </c>
      <c r="B5068" s="613" t="s">
        <v>662</v>
      </c>
      <c r="C5068" s="610" t="s">
        <v>379</v>
      </c>
      <c r="D5068" s="610" t="s">
        <v>379</v>
      </c>
      <c r="E5068" s="610" t="s">
        <v>379</v>
      </c>
      <c r="F5068" s="610" t="s">
        <v>379</v>
      </c>
      <c r="G5068" s="610" t="s">
        <v>379</v>
      </c>
      <c r="H5068" s="611" t="s">
        <v>626</v>
      </c>
    </row>
    <row r="5069" spans="1:8" ht="31.5">
      <c r="A5069" s="615" t="s">
        <v>663</v>
      </c>
      <c r="B5069" s="616" t="s">
        <v>664</v>
      </c>
      <c r="C5069" s="617" t="s">
        <v>379</v>
      </c>
      <c r="D5069" s="617" t="s">
        <v>379</v>
      </c>
      <c r="E5069" s="617" t="s">
        <v>379</v>
      </c>
      <c r="F5069" s="617" t="s">
        <v>379</v>
      </c>
      <c r="G5069" s="617" t="s">
        <v>379</v>
      </c>
      <c r="H5069" s="618" t="s">
        <v>626</v>
      </c>
    </row>
    <row r="5070" spans="1:8" ht="15.75">
      <c r="A5070" s="619"/>
      <c r="B5070" s="620"/>
      <c r="C5070" s="621"/>
      <c r="D5070" s="621"/>
      <c r="E5070" s="621"/>
      <c r="F5070" s="621"/>
      <c r="G5070" s="621"/>
      <c r="H5070" s="148"/>
    </row>
    <row r="5071" spans="1:8" ht="12.75" customHeight="1">
      <c r="A5071" s="707" t="s">
        <v>665</v>
      </c>
      <c r="B5071" s="707"/>
      <c r="C5071" s="707"/>
      <c r="D5071" s="707"/>
      <c r="E5071" s="707"/>
      <c r="F5071" s="707"/>
      <c r="G5071" s="707"/>
      <c r="H5071" s="707"/>
    </row>
    <row r="5072" spans="1:8" ht="15.75">
      <c r="A5072" s="622"/>
      <c r="B5072" s="622"/>
      <c r="C5072" s="622"/>
      <c r="D5072" s="622"/>
      <c r="E5072" s="622"/>
      <c r="F5072" s="622"/>
      <c r="G5072" s="622"/>
      <c r="H5072" s="622"/>
    </row>
    <row r="5073" ht="15.75">
      <c r="H5073" s="11" t="s">
        <v>609</v>
      </c>
    </row>
    <row r="5074" ht="15.75">
      <c r="H5074" s="11" t="s">
        <v>610</v>
      </c>
    </row>
    <row r="5075" ht="15.75">
      <c r="H5075" s="11" t="s">
        <v>611</v>
      </c>
    </row>
    <row r="5076" ht="15.75">
      <c r="H5076" s="11"/>
    </row>
    <row r="5077" spans="1:8" ht="12.75" customHeight="1">
      <c r="A5077" s="713" t="s">
        <v>612</v>
      </c>
      <c r="B5077" s="713"/>
      <c r="C5077" s="713"/>
      <c r="D5077" s="713"/>
      <c r="E5077" s="713"/>
      <c r="F5077" s="713"/>
      <c r="G5077" s="713"/>
      <c r="H5077" s="713"/>
    </row>
    <row r="5078" spans="1:8" ht="12.75" customHeight="1">
      <c r="A5078" s="713" t="s">
        <v>613</v>
      </c>
      <c r="B5078" s="713"/>
      <c r="C5078" s="713"/>
      <c r="D5078" s="713"/>
      <c r="E5078" s="713"/>
      <c r="F5078" s="713"/>
      <c r="G5078" s="713"/>
      <c r="H5078" s="713"/>
    </row>
    <row r="5079" ht="15.75">
      <c r="H5079" s="11" t="s">
        <v>43</v>
      </c>
    </row>
    <row r="5080" ht="15.75">
      <c r="H5080" s="11" t="s">
        <v>44</v>
      </c>
    </row>
    <row r="5081" ht="15.75">
      <c r="H5081" s="11" t="s">
        <v>45</v>
      </c>
    </row>
    <row r="5082" ht="15.75">
      <c r="H5082" s="594" t="s">
        <v>614</v>
      </c>
    </row>
    <row r="5083" ht="15.75">
      <c r="H5083" s="11" t="s">
        <v>615</v>
      </c>
    </row>
    <row r="5084" ht="15.75">
      <c r="H5084" s="11" t="s">
        <v>47</v>
      </c>
    </row>
    <row r="5085" ht="15.75">
      <c r="A5085" s="595"/>
    </row>
    <row r="5086" ht="15.75">
      <c r="A5086" s="3" t="s">
        <v>895</v>
      </c>
    </row>
    <row r="5087" spans="1:8" ht="12.75" customHeight="1">
      <c r="A5087" s="717" t="s">
        <v>0</v>
      </c>
      <c r="B5087" s="714"/>
      <c r="C5087" s="714"/>
      <c r="D5087" s="714"/>
      <c r="E5087" s="714"/>
      <c r="F5087" s="714"/>
      <c r="G5087" s="714"/>
      <c r="H5087" s="714"/>
    </row>
    <row r="5088" spans="1:8" ht="16.5" thickBot="1">
      <c r="A5088" s="597"/>
      <c r="B5088" s="597"/>
      <c r="C5088" s="598"/>
      <c r="D5088" s="598"/>
      <c r="E5088" s="598"/>
      <c r="F5088" s="598"/>
      <c r="G5088" s="598"/>
      <c r="H5088" s="598"/>
    </row>
    <row r="5089" spans="1:8" ht="12.75" customHeight="1">
      <c r="A5089" s="708" t="s">
        <v>617</v>
      </c>
      <c r="B5089" s="710" t="s">
        <v>618</v>
      </c>
      <c r="C5089" s="711" t="s">
        <v>619</v>
      </c>
      <c r="D5089" s="711"/>
      <c r="E5089" s="711"/>
      <c r="F5089" s="711"/>
      <c r="G5089" s="712" t="s">
        <v>620</v>
      </c>
      <c r="H5089" s="708" t="s">
        <v>621</v>
      </c>
    </row>
    <row r="5090" spans="1:8" ht="15.75">
      <c r="A5090" s="708"/>
      <c r="B5090" s="710"/>
      <c r="C5090" s="711"/>
      <c r="D5090" s="711"/>
      <c r="E5090" s="711"/>
      <c r="F5090" s="711"/>
      <c r="G5090" s="712"/>
      <c r="H5090" s="708"/>
    </row>
    <row r="5091" spans="1:8" ht="31.5">
      <c r="A5091" s="708"/>
      <c r="B5091" s="710"/>
      <c r="C5091" s="601" t="s">
        <v>622</v>
      </c>
      <c r="D5091" s="601" t="s">
        <v>623</v>
      </c>
      <c r="E5091" s="602" t="s">
        <v>622</v>
      </c>
      <c r="F5091" s="603" t="s">
        <v>623</v>
      </c>
      <c r="G5091" s="712"/>
      <c r="H5091" s="708"/>
    </row>
    <row r="5092" spans="1:8" ht="15.75">
      <c r="A5092" s="599">
        <v>1</v>
      </c>
      <c r="B5092" s="599">
        <v>2</v>
      </c>
      <c r="C5092" s="604">
        <v>3</v>
      </c>
      <c r="D5092" s="604">
        <v>4</v>
      </c>
      <c r="E5092" s="605"/>
      <c r="F5092" s="606"/>
      <c r="G5092" s="600">
        <v>5</v>
      </c>
      <c r="H5092" s="599">
        <v>6</v>
      </c>
    </row>
    <row r="5093" spans="1:8" ht="12.75" customHeight="1">
      <c r="A5093" s="607">
        <v>1</v>
      </c>
      <c r="B5093" s="709" t="s">
        <v>624</v>
      </c>
      <c r="C5093" s="709"/>
      <c r="D5093" s="709"/>
      <c r="E5093" s="709"/>
      <c r="F5093" s="709"/>
      <c r="G5093" s="709"/>
      <c r="H5093" s="709"/>
    </row>
    <row r="5094" spans="1:8" ht="15.75">
      <c r="A5094" s="608" t="s">
        <v>74</v>
      </c>
      <c r="B5094" s="609" t="s">
        <v>625</v>
      </c>
      <c r="C5094" s="610" t="s">
        <v>379</v>
      </c>
      <c r="D5094" s="610" t="s">
        <v>379</v>
      </c>
      <c r="E5094" s="610" t="s">
        <v>379</v>
      </c>
      <c r="F5094" s="610" t="s">
        <v>379</v>
      </c>
      <c r="G5094" s="610" t="s">
        <v>379</v>
      </c>
      <c r="H5094" s="611" t="s">
        <v>626</v>
      </c>
    </row>
    <row r="5095" spans="1:8" ht="15.75">
      <c r="A5095" s="608" t="s">
        <v>313</v>
      </c>
      <c r="B5095" s="609" t="s">
        <v>627</v>
      </c>
      <c r="C5095" s="610" t="s">
        <v>379</v>
      </c>
      <c r="D5095" s="610" t="s">
        <v>379</v>
      </c>
      <c r="E5095" s="610" t="s">
        <v>379</v>
      </c>
      <c r="F5095" s="610" t="s">
        <v>379</v>
      </c>
      <c r="G5095" s="610" t="s">
        <v>379</v>
      </c>
      <c r="H5095" s="611" t="s">
        <v>626</v>
      </c>
    </row>
    <row r="5096" spans="1:8" ht="31.5">
      <c r="A5096" s="608" t="s">
        <v>315</v>
      </c>
      <c r="B5096" s="612" t="s">
        <v>628</v>
      </c>
      <c r="C5096" s="610" t="s">
        <v>379</v>
      </c>
      <c r="D5096" s="610" t="s">
        <v>379</v>
      </c>
      <c r="E5096" s="610" t="s">
        <v>379</v>
      </c>
      <c r="F5096" s="610" t="s">
        <v>379</v>
      </c>
      <c r="G5096" s="610" t="s">
        <v>379</v>
      </c>
      <c r="H5096" s="611" t="s">
        <v>626</v>
      </c>
    </row>
    <row r="5097" spans="1:8" ht="47.25">
      <c r="A5097" s="608" t="s">
        <v>317</v>
      </c>
      <c r="B5097" s="612" t="s">
        <v>629</v>
      </c>
      <c r="C5097" s="610" t="s">
        <v>379</v>
      </c>
      <c r="D5097" s="610" t="s">
        <v>379</v>
      </c>
      <c r="E5097" s="610" t="s">
        <v>379</v>
      </c>
      <c r="F5097" s="610" t="s">
        <v>379</v>
      </c>
      <c r="G5097" s="610" t="s">
        <v>379</v>
      </c>
      <c r="H5097" s="611" t="s">
        <v>626</v>
      </c>
    </row>
    <row r="5098" spans="1:8" ht="15.75">
      <c r="A5098" s="608" t="s">
        <v>630</v>
      </c>
      <c r="B5098" s="613" t="s">
        <v>631</v>
      </c>
      <c r="C5098" s="610" t="s">
        <v>379</v>
      </c>
      <c r="D5098" s="610" t="s">
        <v>379</v>
      </c>
      <c r="E5098" s="610" t="s">
        <v>379</v>
      </c>
      <c r="F5098" s="610" t="s">
        <v>379</v>
      </c>
      <c r="G5098" s="610" t="s">
        <v>379</v>
      </c>
      <c r="H5098" s="611" t="s">
        <v>626</v>
      </c>
    </row>
    <row r="5099" spans="1:8" ht="15.75">
      <c r="A5099" s="608" t="s">
        <v>632</v>
      </c>
      <c r="B5099" s="613" t="s">
        <v>633</v>
      </c>
      <c r="C5099" s="610" t="s">
        <v>379</v>
      </c>
      <c r="D5099" s="610" t="s">
        <v>379</v>
      </c>
      <c r="E5099" s="610" t="s">
        <v>379</v>
      </c>
      <c r="F5099" s="610" t="s">
        <v>379</v>
      </c>
      <c r="G5099" s="610" t="s">
        <v>379</v>
      </c>
      <c r="H5099" s="611" t="s">
        <v>626</v>
      </c>
    </row>
    <row r="5100" spans="1:8" ht="12.75" customHeight="1">
      <c r="A5100" s="608">
        <v>2</v>
      </c>
      <c r="B5100" s="706" t="s">
        <v>634</v>
      </c>
      <c r="C5100" s="706"/>
      <c r="D5100" s="706"/>
      <c r="E5100" s="706"/>
      <c r="F5100" s="706"/>
      <c r="G5100" s="706"/>
      <c r="H5100" s="706"/>
    </row>
    <row r="5101" spans="1:8" ht="31.5">
      <c r="A5101" s="608" t="s">
        <v>321</v>
      </c>
      <c r="B5101" s="612" t="s">
        <v>635</v>
      </c>
      <c r="C5101" s="610" t="s">
        <v>870</v>
      </c>
      <c r="D5101" s="610" t="s">
        <v>637</v>
      </c>
      <c r="E5101" s="610" t="s">
        <v>379</v>
      </c>
      <c r="F5101" s="610" t="s">
        <v>379</v>
      </c>
      <c r="G5101" s="614">
        <v>0</v>
      </c>
      <c r="H5101" s="611"/>
    </row>
    <row r="5102" spans="1:8" ht="47.25">
      <c r="A5102" s="608" t="s">
        <v>325</v>
      </c>
      <c r="B5102" s="612" t="s">
        <v>638</v>
      </c>
      <c r="C5102" s="610" t="s">
        <v>379</v>
      </c>
      <c r="D5102" s="610" t="s">
        <v>379</v>
      </c>
      <c r="E5102" s="610" t="s">
        <v>379</v>
      </c>
      <c r="F5102" s="610" t="s">
        <v>379</v>
      </c>
      <c r="G5102" s="610" t="s">
        <v>379</v>
      </c>
      <c r="H5102" s="611" t="s">
        <v>626</v>
      </c>
    </row>
    <row r="5103" spans="1:8" ht="31.5">
      <c r="A5103" s="608" t="s">
        <v>639</v>
      </c>
      <c r="B5103" s="612" t="s">
        <v>640</v>
      </c>
      <c r="C5103" s="610" t="s">
        <v>379</v>
      </c>
      <c r="D5103" s="610" t="s">
        <v>379</v>
      </c>
      <c r="E5103" s="610" t="s">
        <v>379</v>
      </c>
      <c r="F5103" s="610" t="s">
        <v>379</v>
      </c>
      <c r="G5103" s="610" t="s">
        <v>379</v>
      </c>
      <c r="H5103" s="611" t="s">
        <v>626</v>
      </c>
    </row>
    <row r="5104" spans="1:8" ht="12.75" customHeight="1">
      <c r="A5104" s="608">
        <v>3</v>
      </c>
      <c r="B5104" s="706" t="s">
        <v>641</v>
      </c>
      <c r="C5104" s="706"/>
      <c r="D5104" s="706"/>
      <c r="E5104" s="706"/>
      <c r="F5104" s="706"/>
      <c r="G5104" s="706"/>
      <c r="H5104" s="706"/>
    </row>
    <row r="5105" spans="1:8" ht="31.5">
      <c r="A5105" s="608" t="s">
        <v>378</v>
      </c>
      <c r="B5105" s="613" t="s">
        <v>642</v>
      </c>
      <c r="C5105" s="610" t="s">
        <v>379</v>
      </c>
      <c r="D5105" s="610" t="s">
        <v>379</v>
      </c>
      <c r="E5105" s="610" t="s">
        <v>379</v>
      </c>
      <c r="F5105" s="610" t="s">
        <v>379</v>
      </c>
      <c r="G5105" s="610" t="s">
        <v>379</v>
      </c>
      <c r="H5105" s="611" t="s">
        <v>626</v>
      </c>
    </row>
    <row r="5106" spans="1:8" ht="15.75">
      <c r="A5106" s="608" t="s">
        <v>643</v>
      </c>
      <c r="B5106" s="613" t="s">
        <v>644</v>
      </c>
      <c r="C5106" s="610" t="s">
        <v>870</v>
      </c>
      <c r="D5106" s="610" t="s">
        <v>896</v>
      </c>
      <c r="E5106" s="610" t="s">
        <v>379</v>
      </c>
      <c r="F5106" s="610" t="s">
        <v>379</v>
      </c>
      <c r="G5106" s="614">
        <v>0</v>
      </c>
      <c r="H5106" s="611"/>
    </row>
    <row r="5107" spans="1:8" ht="15.75">
      <c r="A5107" s="608" t="s">
        <v>380</v>
      </c>
      <c r="B5107" s="613" t="s">
        <v>646</v>
      </c>
      <c r="C5107" s="610" t="s">
        <v>897</v>
      </c>
      <c r="D5107" s="610" t="s">
        <v>898</v>
      </c>
      <c r="E5107" s="610" t="s">
        <v>379</v>
      </c>
      <c r="F5107" s="610" t="s">
        <v>379</v>
      </c>
      <c r="G5107" s="614">
        <v>0</v>
      </c>
      <c r="H5107" s="611"/>
    </row>
    <row r="5108" spans="1:8" ht="15.75">
      <c r="A5108" s="608" t="s">
        <v>649</v>
      </c>
      <c r="B5108" s="613" t="s">
        <v>650</v>
      </c>
      <c r="C5108" s="610" t="s">
        <v>899</v>
      </c>
      <c r="D5108" s="610" t="s">
        <v>900</v>
      </c>
      <c r="E5108" s="610" t="s">
        <v>379</v>
      </c>
      <c r="F5108" s="610" t="s">
        <v>379</v>
      </c>
      <c r="G5108" s="614">
        <v>0</v>
      </c>
      <c r="H5108" s="611"/>
    </row>
    <row r="5109" spans="1:8" ht="15.75">
      <c r="A5109" s="608" t="s">
        <v>653</v>
      </c>
      <c r="B5109" s="613" t="s">
        <v>654</v>
      </c>
      <c r="C5109" s="610" t="s">
        <v>901</v>
      </c>
      <c r="D5109" s="610" t="s">
        <v>890</v>
      </c>
      <c r="E5109" s="610" t="s">
        <v>379</v>
      </c>
      <c r="F5109" s="610" t="s">
        <v>379</v>
      </c>
      <c r="G5109" s="614">
        <v>0</v>
      </c>
      <c r="H5109" s="611"/>
    </row>
    <row r="5110" spans="1:8" ht="12.75" customHeight="1">
      <c r="A5110" s="608">
        <v>4</v>
      </c>
      <c r="B5110" s="706" t="s">
        <v>656</v>
      </c>
      <c r="C5110" s="706"/>
      <c r="D5110" s="706"/>
      <c r="E5110" s="706"/>
      <c r="F5110" s="706"/>
      <c r="G5110" s="706"/>
      <c r="H5110" s="706"/>
    </row>
    <row r="5111" spans="1:8" ht="31.5">
      <c r="A5111" s="608" t="s">
        <v>657</v>
      </c>
      <c r="B5111" s="612" t="s">
        <v>658</v>
      </c>
      <c r="C5111" s="610" t="s">
        <v>379</v>
      </c>
      <c r="D5111" s="610" t="s">
        <v>379</v>
      </c>
      <c r="E5111" s="610" t="s">
        <v>379</v>
      </c>
      <c r="F5111" s="610" t="s">
        <v>379</v>
      </c>
      <c r="G5111" s="610" t="s">
        <v>379</v>
      </c>
      <c r="H5111" s="611" t="s">
        <v>626</v>
      </c>
    </row>
    <row r="5112" spans="1:8" ht="47.25">
      <c r="A5112" s="608" t="s">
        <v>659</v>
      </c>
      <c r="B5112" s="612" t="s">
        <v>660</v>
      </c>
      <c r="C5112" s="610" t="s">
        <v>379</v>
      </c>
      <c r="D5112" s="610" t="s">
        <v>379</v>
      </c>
      <c r="E5112" s="610" t="s">
        <v>379</v>
      </c>
      <c r="F5112" s="610" t="s">
        <v>379</v>
      </c>
      <c r="G5112" s="610" t="s">
        <v>379</v>
      </c>
      <c r="H5112" s="611" t="s">
        <v>626</v>
      </c>
    </row>
    <row r="5113" spans="1:8" ht="31.5">
      <c r="A5113" s="608" t="s">
        <v>661</v>
      </c>
      <c r="B5113" s="613" t="s">
        <v>662</v>
      </c>
      <c r="C5113" s="610" t="s">
        <v>379</v>
      </c>
      <c r="D5113" s="610" t="s">
        <v>379</v>
      </c>
      <c r="E5113" s="610" t="s">
        <v>379</v>
      </c>
      <c r="F5113" s="610" t="s">
        <v>379</v>
      </c>
      <c r="G5113" s="610" t="s">
        <v>379</v>
      </c>
      <c r="H5113" s="611" t="s">
        <v>626</v>
      </c>
    </row>
    <row r="5114" spans="1:8" ht="31.5">
      <c r="A5114" s="615" t="s">
        <v>663</v>
      </c>
      <c r="B5114" s="616" t="s">
        <v>664</v>
      </c>
      <c r="C5114" s="617" t="s">
        <v>379</v>
      </c>
      <c r="D5114" s="617" t="s">
        <v>379</v>
      </c>
      <c r="E5114" s="617" t="s">
        <v>379</v>
      </c>
      <c r="F5114" s="617" t="s">
        <v>379</v>
      </c>
      <c r="G5114" s="617" t="s">
        <v>379</v>
      </c>
      <c r="H5114" s="618" t="s">
        <v>626</v>
      </c>
    </row>
    <row r="5115" spans="1:8" ht="15.75">
      <c r="A5115" s="619"/>
      <c r="B5115" s="620"/>
      <c r="C5115" s="621"/>
      <c r="D5115" s="621"/>
      <c r="E5115" s="621"/>
      <c r="F5115" s="621"/>
      <c r="G5115" s="621"/>
      <c r="H5115" s="148"/>
    </row>
    <row r="5116" spans="1:8" ht="12.75" customHeight="1">
      <c r="A5116" s="707" t="s">
        <v>665</v>
      </c>
      <c r="B5116" s="707"/>
      <c r="C5116" s="707"/>
      <c r="D5116" s="707"/>
      <c r="E5116" s="707"/>
      <c r="F5116" s="707"/>
      <c r="G5116" s="707"/>
      <c r="H5116" s="707"/>
    </row>
    <row r="5118" spans="1:8" ht="15.75">
      <c r="A5118" s="622"/>
      <c r="B5118" s="622"/>
      <c r="C5118" s="622"/>
      <c r="D5118" s="622"/>
      <c r="E5118" s="622"/>
      <c r="F5118" s="622"/>
      <c r="G5118" s="622"/>
      <c r="H5118" s="622"/>
    </row>
    <row r="5119" ht="15.75">
      <c r="H5119" s="11" t="s">
        <v>609</v>
      </c>
    </row>
    <row r="5120" ht="15.75">
      <c r="H5120" s="11" t="s">
        <v>610</v>
      </c>
    </row>
    <row r="5121" ht="15.75">
      <c r="H5121" s="11" t="s">
        <v>611</v>
      </c>
    </row>
    <row r="5122" ht="15.75">
      <c r="H5122" s="11"/>
    </row>
    <row r="5123" spans="1:8" ht="12.75" customHeight="1">
      <c r="A5123" s="713" t="s">
        <v>612</v>
      </c>
      <c r="B5123" s="713"/>
      <c r="C5123" s="713"/>
      <c r="D5123" s="713"/>
      <c r="E5123" s="713"/>
      <c r="F5123" s="713"/>
      <c r="G5123" s="713"/>
      <c r="H5123" s="713"/>
    </row>
    <row r="5124" spans="1:8" ht="12.75" customHeight="1">
      <c r="A5124" s="713" t="s">
        <v>613</v>
      </c>
      <c r="B5124" s="713"/>
      <c r="C5124" s="713"/>
      <c r="D5124" s="713"/>
      <c r="E5124" s="713"/>
      <c r="F5124" s="713"/>
      <c r="G5124" s="713"/>
      <c r="H5124" s="713"/>
    </row>
    <row r="5125" ht="15.75">
      <c r="H5125" s="11" t="s">
        <v>43</v>
      </c>
    </row>
    <row r="5126" ht="15.75">
      <c r="H5126" s="11" t="s">
        <v>44</v>
      </c>
    </row>
    <row r="5127" ht="15.75">
      <c r="H5127" s="11" t="s">
        <v>45</v>
      </c>
    </row>
    <row r="5128" ht="15.75">
      <c r="H5128" s="594" t="s">
        <v>614</v>
      </c>
    </row>
    <row r="5129" ht="15.75">
      <c r="H5129" s="11" t="s">
        <v>615</v>
      </c>
    </row>
    <row r="5130" ht="15.75">
      <c r="H5130" s="11" t="s">
        <v>47</v>
      </c>
    </row>
    <row r="5131" ht="15.75">
      <c r="A5131" s="595"/>
    </row>
    <row r="5132" ht="15.75">
      <c r="A5132" s="3" t="s">
        <v>902</v>
      </c>
    </row>
    <row r="5133" spans="1:8" ht="12.75" customHeight="1">
      <c r="A5133" s="717" t="s">
        <v>0</v>
      </c>
      <c r="B5133" s="714"/>
      <c r="C5133" s="714"/>
      <c r="D5133" s="714"/>
      <c r="E5133" s="714"/>
      <c r="F5133" s="714"/>
      <c r="G5133" s="714"/>
      <c r="H5133" s="714"/>
    </row>
    <row r="5134" spans="1:8" ht="16.5" thickBot="1">
      <c r="A5134" s="597"/>
      <c r="B5134" s="597"/>
      <c r="C5134" s="598"/>
      <c r="D5134" s="598"/>
      <c r="E5134" s="598"/>
      <c r="F5134" s="598"/>
      <c r="G5134" s="598"/>
      <c r="H5134" s="598"/>
    </row>
    <row r="5135" spans="1:8" ht="12.75" customHeight="1">
      <c r="A5135" s="708" t="s">
        <v>617</v>
      </c>
      <c r="B5135" s="710" t="s">
        <v>618</v>
      </c>
      <c r="C5135" s="711" t="s">
        <v>619</v>
      </c>
      <c r="D5135" s="711"/>
      <c r="E5135" s="711"/>
      <c r="F5135" s="711"/>
      <c r="G5135" s="712" t="s">
        <v>620</v>
      </c>
      <c r="H5135" s="708" t="s">
        <v>621</v>
      </c>
    </row>
    <row r="5136" spans="1:8" ht="15.75">
      <c r="A5136" s="708"/>
      <c r="B5136" s="710"/>
      <c r="C5136" s="711"/>
      <c r="D5136" s="711"/>
      <c r="E5136" s="711"/>
      <c r="F5136" s="711"/>
      <c r="G5136" s="712"/>
      <c r="H5136" s="708"/>
    </row>
    <row r="5137" spans="1:8" ht="31.5">
      <c r="A5137" s="708"/>
      <c r="B5137" s="710"/>
      <c r="C5137" s="601" t="s">
        <v>622</v>
      </c>
      <c r="D5137" s="601" t="s">
        <v>623</v>
      </c>
      <c r="E5137" s="602" t="s">
        <v>622</v>
      </c>
      <c r="F5137" s="603" t="s">
        <v>623</v>
      </c>
      <c r="G5137" s="712"/>
      <c r="H5137" s="708"/>
    </row>
    <row r="5138" spans="1:8" ht="15.75">
      <c r="A5138" s="599">
        <v>1</v>
      </c>
      <c r="B5138" s="599">
        <v>2</v>
      </c>
      <c r="C5138" s="604">
        <v>3</v>
      </c>
      <c r="D5138" s="604">
        <v>4</v>
      </c>
      <c r="E5138" s="605"/>
      <c r="F5138" s="606"/>
      <c r="G5138" s="600">
        <v>5</v>
      </c>
      <c r="H5138" s="599">
        <v>6</v>
      </c>
    </row>
    <row r="5139" spans="1:8" ht="12.75" customHeight="1">
      <c r="A5139" s="607">
        <v>1</v>
      </c>
      <c r="B5139" s="709" t="s">
        <v>624</v>
      </c>
      <c r="C5139" s="709"/>
      <c r="D5139" s="709"/>
      <c r="E5139" s="709"/>
      <c r="F5139" s="709"/>
      <c r="G5139" s="709"/>
      <c r="H5139" s="709"/>
    </row>
    <row r="5140" spans="1:8" ht="15.75">
      <c r="A5140" s="608" t="s">
        <v>74</v>
      </c>
      <c r="B5140" s="609" t="s">
        <v>625</v>
      </c>
      <c r="C5140" s="610" t="s">
        <v>379</v>
      </c>
      <c r="D5140" s="610" t="s">
        <v>379</v>
      </c>
      <c r="E5140" s="610" t="s">
        <v>379</v>
      </c>
      <c r="F5140" s="610" t="s">
        <v>379</v>
      </c>
      <c r="G5140" s="610" t="s">
        <v>379</v>
      </c>
      <c r="H5140" s="611" t="s">
        <v>626</v>
      </c>
    </row>
    <row r="5141" spans="1:8" ht="15.75">
      <c r="A5141" s="608" t="s">
        <v>313</v>
      </c>
      <c r="B5141" s="609" t="s">
        <v>627</v>
      </c>
      <c r="C5141" s="610" t="s">
        <v>379</v>
      </c>
      <c r="D5141" s="610" t="s">
        <v>379</v>
      </c>
      <c r="E5141" s="610" t="s">
        <v>379</v>
      </c>
      <c r="F5141" s="610" t="s">
        <v>379</v>
      </c>
      <c r="G5141" s="610" t="s">
        <v>379</v>
      </c>
      <c r="H5141" s="611" t="s">
        <v>626</v>
      </c>
    </row>
    <row r="5142" spans="1:8" ht="31.5">
      <c r="A5142" s="608" t="s">
        <v>315</v>
      </c>
      <c r="B5142" s="612" t="s">
        <v>628</v>
      </c>
      <c r="C5142" s="610" t="s">
        <v>379</v>
      </c>
      <c r="D5142" s="610" t="s">
        <v>379</v>
      </c>
      <c r="E5142" s="610" t="s">
        <v>379</v>
      </c>
      <c r="F5142" s="610" t="s">
        <v>379</v>
      </c>
      <c r="G5142" s="610" t="s">
        <v>379</v>
      </c>
      <c r="H5142" s="611" t="s">
        <v>626</v>
      </c>
    </row>
    <row r="5143" spans="1:8" ht="47.25">
      <c r="A5143" s="608" t="s">
        <v>317</v>
      </c>
      <c r="B5143" s="612" t="s">
        <v>629</v>
      </c>
      <c r="C5143" s="610" t="s">
        <v>379</v>
      </c>
      <c r="D5143" s="610" t="s">
        <v>379</v>
      </c>
      <c r="E5143" s="610" t="s">
        <v>379</v>
      </c>
      <c r="F5143" s="610" t="s">
        <v>379</v>
      </c>
      <c r="G5143" s="610" t="s">
        <v>379</v>
      </c>
      <c r="H5143" s="611" t="s">
        <v>626</v>
      </c>
    </row>
    <row r="5144" spans="1:8" ht="15.75">
      <c r="A5144" s="608" t="s">
        <v>630</v>
      </c>
      <c r="B5144" s="613" t="s">
        <v>631</v>
      </c>
      <c r="C5144" s="610" t="s">
        <v>379</v>
      </c>
      <c r="D5144" s="610" t="s">
        <v>379</v>
      </c>
      <c r="E5144" s="610" t="s">
        <v>379</v>
      </c>
      <c r="F5144" s="610" t="s">
        <v>379</v>
      </c>
      <c r="G5144" s="610" t="s">
        <v>379</v>
      </c>
      <c r="H5144" s="611" t="s">
        <v>626</v>
      </c>
    </row>
    <row r="5145" spans="1:8" ht="15.75">
      <c r="A5145" s="608" t="s">
        <v>632</v>
      </c>
      <c r="B5145" s="613" t="s">
        <v>633</v>
      </c>
      <c r="C5145" s="610" t="s">
        <v>379</v>
      </c>
      <c r="D5145" s="610" t="s">
        <v>379</v>
      </c>
      <c r="E5145" s="610" t="s">
        <v>379</v>
      </c>
      <c r="F5145" s="610" t="s">
        <v>379</v>
      </c>
      <c r="G5145" s="610" t="s">
        <v>379</v>
      </c>
      <c r="H5145" s="611" t="s">
        <v>626</v>
      </c>
    </row>
    <row r="5146" spans="1:8" ht="12.75" customHeight="1">
      <c r="A5146" s="608">
        <v>2</v>
      </c>
      <c r="B5146" s="706" t="s">
        <v>634</v>
      </c>
      <c r="C5146" s="706"/>
      <c r="D5146" s="706"/>
      <c r="E5146" s="706"/>
      <c r="F5146" s="706"/>
      <c r="G5146" s="706"/>
      <c r="H5146" s="706"/>
    </row>
    <row r="5147" spans="1:8" ht="31.5">
      <c r="A5147" s="608" t="s">
        <v>321</v>
      </c>
      <c r="B5147" s="612" t="s">
        <v>635</v>
      </c>
      <c r="C5147" s="610" t="s">
        <v>676</v>
      </c>
      <c r="D5147" s="610" t="s">
        <v>677</v>
      </c>
      <c r="E5147" s="610" t="s">
        <v>379</v>
      </c>
      <c r="F5147" s="610" t="s">
        <v>379</v>
      </c>
      <c r="G5147" s="614">
        <v>0</v>
      </c>
      <c r="H5147" s="611"/>
    </row>
    <row r="5148" spans="1:8" ht="47.25">
      <c r="A5148" s="608" t="s">
        <v>325</v>
      </c>
      <c r="B5148" s="612" t="s">
        <v>638</v>
      </c>
      <c r="C5148" s="610" t="s">
        <v>379</v>
      </c>
      <c r="D5148" s="610" t="s">
        <v>379</v>
      </c>
      <c r="E5148" s="610" t="s">
        <v>379</v>
      </c>
      <c r="F5148" s="610" t="s">
        <v>379</v>
      </c>
      <c r="G5148" s="610" t="s">
        <v>379</v>
      </c>
      <c r="H5148" s="611" t="s">
        <v>626</v>
      </c>
    </row>
    <row r="5149" spans="1:8" ht="31.5">
      <c r="A5149" s="608" t="s">
        <v>639</v>
      </c>
      <c r="B5149" s="612" t="s">
        <v>640</v>
      </c>
      <c r="C5149" s="610" t="s">
        <v>379</v>
      </c>
      <c r="D5149" s="610" t="s">
        <v>379</v>
      </c>
      <c r="E5149" s="610" t="s">
        <v>379</v>
      </c>
      <c r="F5149" s="610" t="s">
        <v>379</v>
      </c>
      <c r="G5149" s="610" t="s">
        <v>379</v>
      </c>
      <c r="H5149" s="611" t="s">
        <v>626</v>
      </c>
    </row>
    <row r="5150" spans="1:8" ht="12.75" customHeight="1">
      <c r="A5150" s="608">
        <v>3</v>
      </c>
      <c r="B5150" s="706" t="s">
        <v>641</v>
      </c>
      <c r="C5150" s="706"/>
      <c r="D5150" s="706"/>
      <c r="E5150" s="706"/>
      <c r="F5150" s="706"/>
      <c r="G5150" s="706"/>
      <c r="H5150" s="706"/>
    </row>
    <row r="5151" spans="1:8" ht="31.5">
      <c r="A5151" s="608" t="s">
        <v>378</v>
      </c>
      <c r="B5151" s="613" t="s">
        <v>642</v>
      </c>
      <c r="C5151" s="610" t="s">
        <v>379</v>
      </c>
      <c r="D5151" s="610" t="s">
        <v>379</v>
      </c>
      <c r="E5151" s="610" t="s">
        <v>379</v>
      </c>
      <c r="F5151" s="610" t="s">
        <v>379</v>
      </c>
      <c r="G5151" s="610" t="s">
        <v>379</v>
      </c>
      <c r="H5151" s="611" t="s">
        <v>626</v>
      </c>
    </row>
    <row r="5152" spans="1:8" ht="15.75">
      <c r="A5152" s="608" t="s">
        <v>643</v>
      </c>
      <c r="B5152" s="613" t="s">
        <v>644</v>
      </c>
      <c r="C5152" s="610" t="s">
        <v>676</v>
      </c>
      <c r="D5152" s="610" t="s">
        <v>678</v>
      </c>
      <c r="E5152" s="610" t="s">
        <v>379</v>
      </c>
      <c r="F5152" s="610" t="s">
        <v>379</v>
      </c>
      <c r="G5152" s="614">
        <v>0</v>
      </c>
      <c r="H5152" s="611"/>
    </row>
    <row r="5153" spans="1:8" ht="15.75">
      <c r="A5153" s="608" t="s">
        <v>380</v>
      </c>
      <c r="B5153" s="613" t="s">
        <v>646</v>
      </c>
      <c r="C5153" s="610" t="s">
        <v>679</v>
      </c>
      <c r="D5153" s="610" t="s">
        <v>680</v>
      </c>
      <c r="E5153" s="610" t="s">
        <v>379</v>
      </c>
      <c r="F5153" s="610" t="s">
        <v>379</v>
      </c>
      <c r="G5153" s="614">
        <v>0</v>
      </c>
      <c r="H5153" s="611"/>
    </row>
    <row r="5154" spans="1:8" ht="15.75">
      <c r="A5154" s="608" t="s">
        <v>649</v>
      </c>
      <c r="B5154" s="613" t="s">
        <v>650</v>
      </c>
      <c r="C5154" s="610" t="s">
        <v>681</v>
      </c>
      <c r="D5154" s="610" t="s">
        <v>682</v>
      </c>
      <c r="E5154" s="610" t="s">
        <v>379</v>
      </c>
      <c r="F5154" s="610" t="s">
        <v>379</v>
      </c>
      <c r="G5154" s="614">
        <v>0</v>
      </c>
      <c r="H5154" s="611"/>
    </row>
    <row r="5155" spans="1:8" ht="15.75">
      <c r="A5155" s="608" t="s">
        <v>653</v>
      </c>
      <c r="B5155" s="613" t="s">
        <v>654</v>
      </c>
      <c r="C5155" s="610" t="s">
        <v>682</v>
      </c>
      <c r="D5155" s="610" t="s">
        <v>677</v>
      </c>
      <c r="E5155" s="610" t="s">
        <v>379</v>
      </c>
      <c r="F5155" s="610" t="s">
        <v>379</v>
      </c>
      <c r="G5155" s="614">
        <v>0</v>
      </c>
      <c r="H5155" s="611"/>
    </row>
    <row r="5156" spans="1:8" ht="12.75" customHeight="1">
      <c r="A5156" s="608">
        <v>4</v>
      </c>
      <c r="B5156" s="706" t="s">
        <v>656</v>
      </c>
      <c r="C5156" s="706"/>
      <c r="D5156" s="706"/>
      <c r="E5156" s="706"/>
      <c r="F5156" s="706"/>
      <c r="G5156" s="706"/>
      <c r="H5156" s="706"/>
    </row>
    <row r="5157" spans="1:8" ht="31.5">
      <c r="A5157" s="608" t="s">
        <v>657</v>
      </c>
      <c r="B5157" s="612" t="s">
        <v>658</v>
      </c>
      <c r="C5157" s="610" t="s">
        <v>379</v>
      </c>
      <c r="D5157" s="610" t="s">
        <v>379</v>
      </c>
      <c r="E5157" s="610" t="s">
        <v>379</v>
      </c>
      <c r="F5157" s="610" t="s">
        <v>379</v>
      </c>
      <c r="G5157" s="610" t="s">
        <v>379</v>
      </c>
      <c r="H5157" s="611" t="s">
        <v>626</v>
      </c>
    </row>
    <row r="5158" spans="1:8" ht="47.25">
      <c r="A5158" s="608" t="s">
        <v>659</v>
      </c>
      <c r="B5158" s="612" t="s">
        <v>660</v>
      </c>
      <c r="C5158" s="610" t="s">
        <v>379</v>
      </c>
      <c r="D5158" s="610" t="s">
        <v>379</v>
      </c>
      <c r="E5158" s="610" t="s">
        <v>379</v>
      </c>
      <c r="F5158" s="610" t="s">
        <v>379</v>
      </c>
      <c r="G5158" s="610" t="s">
        <v>379</v>
      </c>
      <c r="H5158" s="611" t="s">
        <v>626</v>
      </c>
    </row>
    <row r="5159" spans="1:8" ht="31.5">
      <c r="A5159" s="608" t="s">
        <v>661</v>
      </c>
      <c r="B5159" s="613" t="s">
        <v>662</v>
      </c>
      <c r="C5159" s="610" t="s">
        <v>827</v>
      </c>
      <c r="D5159" s="610" t="s">
        <v>723</v>
      </c>
      <c r="E5159" s="610" t="s">
        <v>379</v>
      </c>
      <c r="F5159" s="610" t="s">
        <v>379</v>
      </c>
      <c r="G5159" s="614">
        <v>0</v>
      </c>
      <c r="H5159" s="611" t="s">
        <v>626</v>
      </c>
    </row>
    <row r="5160" spans="1:8" ht="31.5">
      <c r="A5160" s="615" t="s">
        <v>663</v>
      </c>
      <c r="B5160" s="616" t="s">
        <v>664</v>
      </c>
      <c r="C5160" s="617" t="s">
        <v>827</v>
      </c>
      <c r="D5160" s="617" t="s">
        <v>723</v>
      </c>
      <c r="E5160" s="617" t="s">
        <v>379</v>
      </c>
      <c r="F5160" s="617" t="s">
        <v>379</v>
      </c>
      <c r="G5160" s="623">
        <v>0</v>
      </c>
      <c r="H5160" s="618" t="s">
        <v>626</v>
      </c>
    </row>
    <row r="5161" spans="1:8" ht="15.75">
      <c r="A5161" s="619"/>
      <c r="B5161" s="620"/>
      <c r="C5161" s="621"/>
      <c r="D5161" s="621"/>
      <c r="E5161" s="621"/>
      <c r="F5161" s="621"/>
      <c r="G5161" s="621"/>
      <c r="H5161" s="148"/>
    </row>
    <row r="5162" spans="1:8" ht="12.75" customHeight="1">
      <c r="A5162" s="707" t="s">
        <v>665</v>
      </c>
      <c r="B5162" s="707"/>
      <c r="C5162" s="707"/>
      <c r="D5162" s="707"/>
      <c r="E5162" s="707"/>
      <c r="F5162" s="707"/>
      <c r="G5162" s="707"/>
      <c r="H5162" s="707"/>
    </row>
    <row r="5165" ht="15.75">
      <c r="H5165" s="11" t="s">
        <v>609</v>
      </c>
    </row>
    <row r="5166" ht="15.75">
      <c r="H5166" s="11" t="s">
        <v>610</v>
      </c>
    </row>
    <row r="5167" ht="15.75">
      <c r="H5167" s="11" t="s">
        <v>611</v>
      </c>
    </row>
    <row r="5168" ht="15.75">
      <c r="H5168" s="11"/>
    </row>
    <row r="5169" spans="1:8" ht="12.75" customHeight="1">
      <c r="A5169" s="713" t="s">
        <v>612</v>
      </c>
      <c r="B5169" s="713"/>
      <c r="C5169" s="713"/>
      <c r="D5169" s="713"/>
      <c r="E5169" s="713"/>
      <c r="F5169" s="713"/>
      <c r="G5169" s="713"/>
      <c r="H5169" s="713"/>
    </row>
    <row r="5170" spans="1:8" ht="12.75" customHeight="1">
      <c r="A5170" s="713" t="s">
        <v>613</v>
      </c>
      <c r="B5170" s="713"/>
      <c r="C5170" s="713"/>
      <c r="D5170" s="713"/>
      <c r="E5170" s="713"/>
      <c r="F5170" s="713"/>
      <c r="G5170" s="713"/>
      <c r="H5170" s="713"/>
    </row>
    <row r="5171" ht="15.75">
      <c r="H5171" s="11" t="s">
        <v>43</v>
      </c>
    </row>
    <row r="5172" ht="15.75">
      <c r="H5172" s="11" t="s">
        <v>44</v>
      </c>
    </row>
    <row r="5173" ht="15.75">
      <c r="H5173" s="11" t="s">
        <v>45</v>
      </c>
    </row>
    <row r="5174" ht="15.75">
      <c r="H5174" s="594" t="s">
        <v>614</v>
      </c>
    </row>
    <row r="5175" ht="15.75">
      <c r="H5175" s="11" t="s">
        <v>615</v>
      </c>
    </row>
    <row r="5176" ht="15.75">
      <c r="H5176" s="11" t="s">
        <v>47</v>
      </c>
    </row>
    <row r="5177" ht="15.75">
      <c r="A5177" s="595"/>
    </row>
    <row r="5178" ht="15.75">
      <c r="A5178" s="3" t="s">
        <v>903</v>
      </c>
    </row>
    <row r="5179" spans="1:8" ht="12.75" customHeight="1">
      <c r="A5179" s="717" t="s">
        <v>0</v>
      </c>
      <c r="B5179" s="714"/>
      <c r="C5179" s="714"/>
      <c r="D5179" s="714"/>
      <c r="E5179" s="714"/>
      <c r="F5179" s="714"/>
      <c r="G5179" s="714"/>
      <c r="H5179" s="714"/>
    </row>
    <row r="5180" spans="1:8" ht="16.5" thickBot="1">
      <c r="A5180" s="597"/>
      <c r="B5180" s="597"/>
      <c r="C5180" s="598"/>
      <c r="D5180" s="598"/>
      <c r="E5180" s="598"/>
      <c r="F5180" s="598"/>
      <c r="G5180" s="598"/>
      <c r="H5180" s="598"/>
    </row>
    <row r="5181" spans="1:8" ht="12.75" customHeight="1">
      <c r="A5181" s="708" t="s">
        <v>617</v>
      </c>
      <c r="B5181" s="710" t="s">
        <v>618</v>
      </c>
      <c r="C5181" s="711" t="s">
        <v>619</v>
      </c>
      <c r="D5181" s="711"/>
      <c r="E5181" s="711"/>
      <c r="F5181" s="711"/>
      <c r="G5181" s="712" t="s">
        <v>620</v>
      </c>
      <c r="H5181" s="708" t="s">
        <v>621</v>
      </c>
    </row>
    <row r="5182" spans="1:8" ht="15.75">
      <c r="A5182" s="708"/>
      <c r="B5182" s="710"/>
      <c r="C5182" s="711"/>
      <c r="D5182" s="711"/>
      <c r="E5182" s="711"/>
      <c r="F5182" s="711"/>
      <c r="G5182" s="712"/>
      <c r="H5182" s="708"/>
    </row>
    <row r="5183" spans="1:8" ht="31.5">
      <c r="A5183" s="708"/>
      <c r="B5183" s="710"/>
      <c r="C5183" s="601" t="s">
        <v>622</v>
      </c>
      <c r="D5183" s="601" t="s">
        <v>623</v>
      </c>
      <c r="E5183" s="602" t="s">
        <v>622</v>
      </c>
      <c r="F5183" s="603" t="s">
        <v>623</v>
      </c>
      <c r="G5183" s="712"/>
      <c r="H5183" s="708"/>
    </row>
    <row r="5184" spans="1:8" ht="15.75">
      <c r="A5184" s="599">
        <v>1</v>
      </c>
      <c r="B5184" s="599">
        <v>2</v>
      </c>
      <c r="C5184" s="604">
        <v>3</v>
      </c>
      <c r="D5184" s="604">
        <v>4</v>
      </c>
      <c r="E5184" s="605"/>
      <c r="F5184" s="606"/>
      <c r="G5184" s="600">
        <v>5</v>
      </c>
      <c r="H5184" s="599">
        <v>6</v>
      </c>
    </row>
    <row r="5185" spans="1:8" ht="12.75" customHeight="1">
      <c r="A5185" s="607">
        <v>1</v>
      </c>
      <c r="B5185" s="709" t="s">
        <v>624</v>
      </c>
      <c r="C5185" s="709"/>
      <c r="D5185" s="709"/>
      <c r="E5185" s="709"/>
      <c r="F5185" s="709"/>
      <c r="G5185" s="709"/>
      <c r="H5185" s="709"/>
    </row>
    <row r="5186" spans="1:8" ht="15.75">
      <c r="A5186" s="608" t="s">
        <v>74</v>
      </c>
      <c r="B5186" s="609" t="s">
        <v>625</v>
      </c>
      <c r="C5186" s="610" t="s">
        <v>379</v>
      </c>
      <c r="D5186" s="610" t="s">
        <v>379</v>
      </c>
      <c r="E5186" s="610" t="s">
        <v>379</v>
      </c>
      <c r="F5186" s="610" t="s">
        <v>379</v>
      </c>
      <c r="G5186" s="610" t="s">
        <v>379</v>
      </c>
      <c r="H5186" s="611" t="s">
        <v>626</v>
      </c>
    </row>
    <row r="5187" spans="1:8" ht="15.75">
      <c r="A5187" s="608" t="s">
        <v>313</v>
      </c>
      <c r="B5187" s="609" t="s">
        <v>627</v>
      </c>
      <c r="C5187" s="610" t="s">
        <v>379</v>
      </c>
      <c r="D5187" s="610" t="s">
        <v>379</v>
      </c>
      <c r="E5187" s="610" t="s">
        <v>379</v>
      </c>
      <c r="F5187" s="610" t="s">
        <v>379</v>
      </c>
      <c r="G5187" s="610" t="s">
        <v>379</v>
      </c>
      <c r="H5187" s="611" t="s">
        <v>626</v>
      </c>
    </row>
    <row r="5188" spans="1:8" ht="31.5">
      <c r="A5188" s="608" t="s">
        <v>315</v>
      </c>
      <c r="B5188" s="612" t="s">
        <v>628</v>
      </c>
      <c r="C5188" s="610" t="s">
        <v>379</v>
      </c>
      <c r="D5188" s="610" t="s">
        <v>379</v>
      </c>
      <c r="E5188" s="610" t="s">
        <v>379</v>
      </c>
      <c r="F5188" s="610" t="s">
        <v>379</v>
      </c>
      <c r="G5188" s="610" t="s">
        <v>379</v>
      </c>
      <c r="H5188" s="611" t="s">
        <v>626</v>
      </c>
    </row>
    <row r="5189" spans="1:8" ht="47.25">
      <c r="A5189" s="608" t="s">
        <v>317</v>
      </c>
      <c r="B5189" s="612" t="s">
        <v>629</v>
      </c>
      <c r="C5189" s="610" t="s">
        <v>379</v>
      </c>
      <c r="D5189" s="610" t="s">
        <v>379</v>
      </c>
      <c r="E5189" s="610" t="s">
        <v>379</v>
      </c>
      <c r="F5189" s="610" t="s">
        <v>379</v>
      </c>
      <c r="G5189" s="610" t="s">
        <v>379</v>
      </c>
      <c r="H5189" s="611" t="s">
        <v>626</v>
      </c>
    </row>
    <row r="5190" spans="1:8" ht="15.75">
      <c r="A5190" s="608" t="s">
        <v>630</v>
      </c>
      <c r="B5190" s="613" t="s">
        <v>631</v>
      </c>
      <c r="C5190" s="610" t="s">
        <v>379</v>
      </c>
      <c r="D5190" s="610" t="s">
        <v>379</v>
      </c>
      <c r="E5190" s="610" t="s">
        <v>379</v>
      </c>
      <c r="F5190" s="610" t="s">
        <v>379</v>
      </c>
      <c r="G5190" s="610" t="s">
        <v>379</v>
      </c>
      <c r="H5190" s="611" t="s">
        <v>626</v>
      </c>
    </row>
    <row r="5191" spans="1:8" ht="15.75">
      <c r="A5191" s="608" t="s">
        <v>632</v>
      </c>
      <c r="B5191" s="613" t="s">
        <v>633</v>
      </c>
      <c r="C5191" s="610" t="s">
        <v>379</v>
      </c>
      <c r="D5191" s="610" t="s">
        <v>379</v>
      </c>
      <c r="E5191" s="610" t="s">
        <v>379</v>
      </c>
      <c r="F5191" s="610" t="s">
        <v>379</v>
      </c>
      <c r="G5191" s="610" t="s">
        <v>379</v>
      </c>
      <c r="H5191" s="611" t="s">
        <v>626</v>
      </c>
    </row>
    <row r="5192" spans="1:8" ht="12.75" customHeight="1">
      <c r="A5192" s="608">
        <v>2</v>
      </c>
      <c r="B5192" s="706" t="s">
        <v>634</v>
      </c>
      <c r="C5192" s="706"/>
      <c r="D5192" s="706"/>
      <c r="E5192" s="706"/>
      <c r="F5192" s="706"/>
      <c r="G5192" s="706"/>
      <c r="H5192" s="706"/>
    </row>
    <row r="5193" spans="1:8" ht="31.5">
      <c r="A5193" s="608" t="s">
        <v>321</v>
      </c>
      <c r="B5193" s="612" t="s">
        <v>635</v>
      </c>
      <c r="C5193" s="610" t="s">
        <v>676</v>
      </c>
      <c r="D5193" s="610" t="s">
        <v>677</v>
      </c>
      <c r="E5193" s="610" t="s">
        <v>379</v>
      </c>
      <c r="F5193" s="610" t="s">
        <v>379</v>
      </c>
      <c r="G5193" s="614">
        <v>0</v>
      </c>
      <c r="H5193" s="611"/>
    </row>
    <row r="5194" spans="1:8" ht="47.25">
      <c r="A5194" s="608" t="s">
        <v>325</v>
      </c>
      <c r="B5194" s="612" t="s">
        <v>638</v>
      </c>
      <c r="C5194" s="610" t="s">
        <v>379</v>
      </c>
      <c r="D5194" s="610" t="s">
        <v>379</v>
      </c>
      <c r="E5194" s="610" t="s">
        <v>379</v>
      </c>
      <c r="F5194" s="610" t="s">
        <v>379</v>
      </c>
      <c r="G5194" s="610" t="s">
        <v>379</v>
      </c>
      <c r="H5194" s="611" t="s">
        <v>626</v>
      </c>
    </row>
    <row r="5195" spans="1:8" ht="31.5">
      <c r="A5195" s="608" t="s">
        <v>639</v>
      </c>
      <c r="B5195" s="612" t="s">
        <v>640</v>
      </c>
      <c r="C5195" s="610" t="s">
        <v>379</v>
      </c>
      <c r="D5195" s="610" t="s">
        <v>379</v>
      </c>
      <c r="E5195" s="610" t="s">
        <v>379</v>
      </c>
      <c r="F5195" s="610" t="s">
        <v>379</v>
      </c>
      <c r="G5195" s="610" t="s">
        <v>379</v>
      </c>
      <c r="H5195" s="611" t="s">
        <v>626</v>
      </c>
    </row>
    <row r="5196" spans="1:8" ht="12.75" customHeight="1">
      <c r="A5196" s="608">
        <v>3</v>
      </c>
      <c r="B5196" s="706" t="s">
        <v>641</v>
      </c>
      <c r="C5196" s="706"/>
      <c r="D5196" s="706"/>
      <c r="E5196" s="706"/>
      <c r="F5196" s="706"/>
      <c r="G5196" s="706"/>
      <c r="H5196" s="706"/>
    </row>
    <row r="5197" spans="1:8" ht="31.5">
      <c r="A5197" s="608" t="s">
        <v>378</v>
      </c>
      <c r="B5197" s="613" t="s">
        <v>642</v>
      </c>
      <c r="C5197" s="610" t="s">
        <v>379</v>
      </c>
      <c r="D5197" s="610" t="s">
        <v>379</v>
      </c>
      <c r="E5197" s="610" t="s">
        <v>379</v>
      </c>
      <c r="F5197" s="610" t="s">
        <v>379</v>
      </c>
      <c r="G5197" s="610" t="s">
        <v>379</v>
      </c>
      <c r="H5197" s="611" t="s">
        <v>626</v>
      </c>
    </row>
    <row r="5198" spans="1:8" ht="15.75">
      <c r="A5198" s="608" t="s">
        <v>643</v>
      </c>
      <c r="B5198" s="613" t="s">
        <v>644</v>
      </c>
      <c r="C5198" s="610" t="s">
        <v>676</v>
      </c>
      <c r="D5198" s="610" t="s">
        <v>678</v>
      </c>
      <c r="E5198" s="610" t="s">
        <v>379</v>
      </c>
      <c r="F5198" s="610" t="s">
        <v>379</v>
      </c>
      <c r="G5198" s="614">
        <v>0</v>
      </c>
      <c r="H5198" s="611"/>
    </row>
    <row r="5199" spans="1:8" ht="15.75">
      <c r="A5199" s="608" t="s">
        <v>380</v>
      </c>
      <c r="B5199" s="613" t="s">
        <v>646</v>
      </c>
      <c r="C5199" s="610" t="s">
        <v>679</v>
      </c>
      <c r="D5199" s="610" t="s">
        <v>680</v>
      </c>
      <c r="E5199" s="610" t="s">
        <v>379</v>
      </c>
      <c r="F5199" s="610" t="s">
        <v>379</v>
      </c>
      <c r="G5199" s="614">
        <v>0</v>
      </c>
      <c r="H5199" s="611"/>
    </row>
    <row r="5200" spans="1:8" ht="15.75">
      <c r="A5200" s="608" t="s">
        <v>649</v>
      </c>
      <c r="B5200" s="613" t="s">
        <v>650</v>
      </c>
      <c r="C5200" s="610" t="s">
        <v>681</v>
      </c>
      <c r="D5200" s="610" t="s">
        <v>682</v>
      </c>
      <c r="E5200" s="610" t="s">
        <v>379</v>
      </c>
      <c r="F5200" s="610" t="s">
        <v>379</v>
      </c>
      <c r="G5200" s="614">
        <v>0</v>
      </c>
      <c r="H5200" s="611"/>
    </row>
    <row r="5201" spans="1:8" ht="15.75">
      <c r="A5201" s="608" t="s">
        <v>653</v>
      </c>
      <c r="B5201" s="613" t="s">
        <v>654</v>
      </c>
      <c r="C5201" s="610" t="s">
        <v>682</v>
      </c>
      <c r="D5201" s="610" t="s">
        <v>677</v>
      </c>
      <c r="E5201" s="610" t="s">
        <v>379</v>
      </c>
      <c r="F5201" s="610" t="s">
        <v>379</v>
      </c>
      <c r="G5201" s="614">
        <v>0</v>
      </c>
      <c r="H5201" s="611"/>
    </row>
    <row r="5202" spans="1:8" ht="12.75" customHeight="1">
      <c r="A5202" s="608">
        <v>4</v>
      </c>
      <c r="B5202" s="706" t="s">
        <v>656</v>
      </c>
      <c r="C5202" s="706"/>
      <c r="D5202" s="706"/>
      <c r="E5202" s="706"/>
      <c r="F5202" s="706"/>
      <c r="G5202" s="706"/>
      <c r="H5202" s="706"/>
    </row>
    <row r="5203" spans="1:8" ht="31.5">
      <c r="A5203" s="608" t="s">
        <v>657</v>
      </c>
      <c r="B5203" s="612" t="s">
        <v>658</v>
      </c>
      <c r="C5203" s="610" t="s">
        <v>379</v>
      </c>
      <c r="D5203" s="610" t="s">
        <v>379</v>
      </c>
      <c r="E5203" s="610" t="s">
        <v>379</v>
      </c>
      <c r="F5203" s="610" t="s">
        <v>379</v>
      </c>
      <c r="G5203" s="610" t="s">
        <v>379</v>
      </c>
      <c r="H5203" s="611" t="s">
        <v>626</v>
      </c>
    </row>
    <row r="5204" spans="1:8" ht="47.25">
      <c r="A5204" s="608" t="s">
        <v>659</v>
      </c>
      <c r="B5204" s="612" t="s">
        <v>660</v>
      </c>
      <c r="C5204" s="610" t="s">
        <v>379</v>
      </c>
      <c r="D5204" s="610" t="s">
        <v>379</v>
      </c>
      <c r="E5204" s="610" t="s">
        <v>379</v>
      </c>
      <c r="F5204" s="610" t="s">
        <v>379</v>
      </c>
      <c r="G5204" s="610" t="s">
        <v>379</v>
      </c>
      <c r="H5204" s="611" t="s">
        <v>626</v>
      </c>
    </row>
    <row r="5205" spans="1:8" ht="31.5">
      <c r="A5205" s="608" t="s">
        <v>661</v>
      </c>
      <c r="B5205" s="613" t="s">
        <v>662</v>
      </c>
      <c r="C5205" s="610" t="s">
        <v>904</v>
      </c>
      <c r="D5205" s="610" t="s">
        <v>905</v>
      </c>
      <c r="E5205" s="610" t="s">
        <v>379</v>
      </c>
      <c r="F5205" s="610" t="s">
        <v>379</v>
      </c>
      <c r="G5205" s="614">
        <v>0</v>
      </c>
      <c r="H5205" s="611" t="s">
        <v>626</v>
      </c>
    </row>
    <row r="5206" spans="1:8" ht="31.5">
      <c r="A5206" s="615" t="s">
        <v>663</v>
      </c>
      <c r="B5206" s="616" t="s">
        <v>664</v>
      </c>
      <c r="C5206" s="617" t="s">
        <v>906</v>
      </c>
      <c r="D5206" s="617" t="s">
        <v>907</v>
      </c>
      <c r="E5206" s="617" t="s">
        <v>379</v>
      </c>
      <c r="F5206" s="617" t="s">
        <v>379</v>
      </c>
      <c r="G5206" s="623">
        <v>0</v>
      </c>
      <c r="H5206" s="618" t="s">
        <v>626</v>
      </c>
    </row>
    <row r="5207" spans="1:8" ht="15.75">
      <c r="A5207" s="619"/>
      <c r="B5207" s="620"/>
      <c r="C5207" s="621"/>
      <c r="D5207" s="621"/>
      <c r="E5207" s="621"/>
      <c r="F5207" s="621"/>
      <c r="G5207" s="621"/>
      <c r="H5207" s="148"/>
    </row>
    <row r="5208" spans="1:8" ht="12.75" customHeight="1">
      <c r="A5208" s="707" t="s">
        <v>665</v>
      </c>
      <c r="B5208" s="707"/>
      <c r="C5208" s="707"/>
      <c r="D5208" s="707"/>
      <c r="E5208" s="707"/>
      <c r="F5208" s="707"/>
      <c r="G5208" s="707"/>
      <c r="H5208" s="707"/>
    </row>
    <row r="5211" ht="15.75">
      <c r="H5211" s="11" t="s">
        <v>609</v>
      </c>
    </row>
    <row r="5212" ht="15.75">
      <c r="H5212" s="11" t="s">
        <v>610</v>
      </c>
    </row>
    <row r="5213" ht="15.75">
      <c r="H5213" s="11" t="s">
        <v>611</v>
      </c>
    </row>
    <row r="5214" ht="15.75">
      <c r="H5214" s="11"/>
    </row>
    <row r="5215" spans="1:8" ht="12.75" customHeight="1">
      <c r="A5215" s="713" t="s">
        <v>612</v>
      </c>
      <c r="B5215" s="713"/>
      <c r="C5215" s="713"/>
      <c r="D5215" s="713"/>
      <c r="E5215" s="713"/>
      <c r="F5215" s="713"/>
      <c r="G5215" s="713"/>
      <c r="H5215" s="713"/>
    </row>
    <row r="5216" spans="1:8" ht="12.75" customHeight="1">
      <c r="A5216" s="713" t="s">
        <v>613</v>
      </c>
      <c r="B5216" s="713"/>
      <c r="C5216" s="713"/>
      <c r="D5216" s="713"/>
      <c r="E5216" s="713"/>
      <c r="F5216" s="713"/>
      <c r="G5216" s="713"/>
      <c r="H5216" s="713"/>
    </row>
    <row r="5217" ht="15.75">
      <c r="H5217" s="11" t="s">
        <v>43</v>
      </c>
    </row>
    <row r="5218" ht="15.75">
      <c r="H5218" s="11" t="s">
        <v>44</v>
      </c>
    </row>
    <row r="5219" ht="15.75">
      <c r="H5219" s="11" t="s">
        <v>45</v>
      </c>
    </row>
    <row r="5220" ht="15.75">
      <c r="H5220" s="594" t="s">
        <v>614</v>
      </c>
    </row>
    <row r="5221" ht="15.75">
      <c r="H5221" s="11" t="s">
        <v>615</v>
      </c>
    </row>
    <row r="5222" ht="15.75">
      <c r="H5222" s="11" t="s">
        <v>47</v>
      </c>
    </row>
    <row r="5223" ht="15.75">
      <c r="A5223" s="595"/>
    </row>
    <row r="5224" ht="15.75">
      <c r="A5224" s="3" t="s">
        <v>908</v>
      </c>
    </row>
    <row r="5225" spans="1:8" ht="12.75" customHeight="1">
      <c r="A5225" s="717" t="s">
        <v>0</v>
      </c>
      <c r="B5225" s="714"/>
      <c r="C5225" s="714"/>
      <c r="D5225" s="714"/>
      <c r="E5225" s="714"/>
      <c r="F5225" s="714"/>
      <c r="G5225" s="714"/>
      <c r="H5225" s="714"/>
    </row>
    <row r="5226" spans="1:8" ht="16.5" thickBot="1">
      <c r="A5226" s="597"/>
      <c r="B5226" s="597"/>
      <c r="C5226" s="598"/>
      <c r="D5226" s="598"/>
      <c r="E5226" s="598"/>
      <c r="F5226" s="598"/>
      <c r="G5226" s="598"/>
      <c r="H5226" s="598"/>
    </row>
    <row r="5227" spans="1:8" ht="12.75" customHeight="1">
      <c r="A5227" s="708" t="s">
        <v>617</v>
      </c>
      <c r="B5227" s="710" t="s">
        <v>618</v>
      </c>
      <c r="C5227" s="711" t="s">
        <v>619</v>
      </c>
      <c r="D5227" s="711"/>
      <c r="E5227" s="711"/>
      <c r="F5227" s="711"/>
      <c r="G5227" s="712" t="s">
        <v>620</v>
      </c>
      <c r="H5227" s="708" t="s">
        <v>621</v>
      </c>
    </row>
    <row r="5228" spans="1:8" ht="15.75">
      <c r="A5228" s="708"/>
      <c r="B5228" s="710"/>
      <c r="C5228" s="711"/>
      <c r="D5228" s="711"/>
      <c r="E5228" s="711"/>
      <c r="F5228" s="711"/>
      <c r="G5228" s="712"/>
      <c r="H5228" s="708"/>
    </row>
    <row r="5229" spans="1:8" ht="31.5">
      <c r="A5229" s="708"/>
      <c r="B5229" s="710"/>
      <c r="C5229" s="601" t="s">
        <v>622</v>
      </c>
      <c r="D5229" s="601" t="s">
        <v>623</v>
      </c>
      <c r="E5229" s="602" t="s">
        <v>622</v>
      </c>
      <c r="F5229" s="603" t="s">
        <v>623</v>
      </c>
      <c r="G5229" s="712"/>
      <c r="H5229" s="708"/>
    </row>
    <row r="5230" spans="1:8" ht="15.75">
      <c r="A5230" s="599">
        <v>1</v>
      </c>
      <c r="B5230" s="599">
        <v>2</v>
      </c>
      <c r="C5230" s="604">
        <v>3</v>
      </c>
      <c r="D5230" s="604">
        <v>4</v>
      </c>
      <c r="E5230" s="605"/>
      <c r="F5230" s="606"/>
      <c r="G5230" s="600">
        <v>5</v>
      </c>
      <c r="H5230" s="599">
        <v>6</v>
      </c>
    </row>
    <row r="5231" spans="1:8" ht="12.75" customHeight="1">
      <c r="A5231" s="607">
        <v>1</v>
      </c>
      <c r="B5231" s="709" t="s">
        <v>624</v>
      </c>
      <c r="C5231" s="709"/>
      <c r="D5231" s="709"/>
      <c r="E5231" s="709"/>
      <c r="F5231" s="709"/>
      <c r="G5231" s="709"/>
      <c r="H5231" s="709"/>
    </row>
    <row r="5232" spans="1:8" ht="15.75">
      <c r="A5232" s="608" t="s">
        <v>74</v>
      </c>
      <c r="B5232" s="609" t="s">
        <v>625</v>
      </c>
      <c r="C5232" s="610" t="s">
        <v>379</v>
      </c>
      <c r="D5232" s="610" t="s">
        <v>379</v>
      </c>
      <c r="E5232" s="610" t="s">
        <v>379</v>
      </c>
      <c r="F5232" s="610" t="s">
        <v>379</v>
      </c>
      <c r="G5232" s="610" t="s">
        <v>379</v>
      </c>
      <c r="H5232" s="611" t="s">
        <v>626</v>
      </c>
    </row>
    <row r="5233" spans="1:8" ht="15.75">
      <c r="A5233" s="608" t="s">
        <v>313</v>
      </c>
      <c r="B5233" s="609" t="s">
        <v>627</v>
      </c>
      <c r="C5233" s="610" t="s">
        <v>379</v>
      </c>
      <c r="D5233" s="610" t="s">
        <v>379</v>
      </c>
      <c r="E5233" s="610" t="s">
        <v>379</v>
      </c>
      <c r="F5233" s="610" t="s">
        <v>379</v>
      </c>
      <c r="G5233" s="610" t="s">
        <v>379</v>
      </c>
      <c r="H5233" s="611" t="s">
        <v>626</v>
      </c>
    </row>
    <row r="5234" spans="1:8" ht="31.5">
      <c r="A5234" s="608" t="s">
        <v>315</v>
      </c>
      <c r="B5234" s="612" t="s">
        <v>628</v>
      </c>
      <c r="C5234" s="610" t="s">
        <v>379</v>
      </c>
      <c r="D5234" s="610" t="s">
        <v>379</v>
      </c>
      <c r="E5234" s="610" t="s">
        <v>379</v>
      </c>
      <c r="F5234" s="610" t="s">
        <v>379</v>
      </c>
      <c r="G5234" s="610" t="s">
        <v>379</v>
      </c>
      <c r="H5234" s="611" t="s">
        <v>626</v>
      </c>
    </row>
    <row r="5235" spans="1:8" ht="47.25">
      <c r="A5235" s="608" t="s">
        <v>317</v>
      </c>
      <c r="B5235" s="612" t="s">
        <v>629</v>
      </c>
      <c r="C5235" s="610" t="s">
        <v>379</v>
      </c>
      <c r="D5235" s="610" t="s">
        <v>379</v>
      </c>
      <c r="E5235" s="610" t="s">
        <v>379</v>
      </c>
      <c r="F5235" s="610" t="s">
        <v>379</v>
      </c>
      <c r="G5235" s="610" t="s">
        <v>379</v>
      </c>
      <c r="H5235" s="611" t="s">
        <v>626</v>
      </c>
    </row>
    <row r="5236" spans="1:8" ht="15.75">
      <c r="A5236" s="608" t="s">
        <v>630</v>
      </c>
      <c r="B5236" s="613" t="s">
        <v>631</v>
      </c>
      <c r="C5236" s="610" t="s">
        <v>379</v>
      </c>
      <c r="D5236" s="610" t="s">
        <v>379</v>
      </c>
      <c r="E5236" s="610" t="s">
        <v>379</v>
      </c>
      <c r="F5236" s="610" t="s">
        <v>379</v>
      </c>
      <c r="G5236" s="610" t="s">
        <v>379</v>
      </c>
      <c r="H5236" s="611" t="s">
        <v>626</v>
      </c>
    </row>
    <row r="5237" spans="1:8" ht="15.75">
      <c r="A5237" s="608" t="s">
        <v>632</v>
      </c>
      <c r="B5237" s="613" t="s">
        <v>633</v>
      </c>
      <c r="C5237" s="610" t="s">
        <v>379</v>
      </c>
      <c r="D5237" s="610" t="s">
        <v>379</v>
      </c>
      <c r="E5237" s="610" t="s">
        <v>379</v>
      </c>
      <c r="F5237" s="610" t="s">
        <v>379</v>
      </c>
      <c r="G5237" s="610" t="s">
        <v>379</v>
      </c>
      <c r="H5237" s="611" t="s">
        <v>626</v>
      </c>
    </row>
    <row r="5238" spans="1:8" ht="12.75" customHeight="1">
      <c r="A5238" s="608">
        <v>2</v>
      </c>
      <c r="B5238" s="706" t="s">
        <v>634</v>
      </c>
      <c r="C5238" s="706"/>
      <c r="D5238" s="706"/>
      <c r="E5238" s="706"/>
      <c r="F5238" s="706"/>
      <c r="G5238" s="706"/>
      <c r="H5238" s="706"/>
    </row>
    <row r="5239" spans="1:8" ht="31.5">
      <c r="A5239" s="608" t="s">
        <v>321</v>
      </c>
      <c r="B5239" s="612" t="s">
        <v>635</v>
      </c>
      <c r="C5239" s="610" t="s">
        <v>676</v>
      </c>
      <c r="D5239" s="610" t="s">
        <v>677</v>
      </c>
      <c r="E5239" s="610" t="s">
        <v>379</v>
      </c>
      <c r="F5239" s="610" t="s">
        <v>379</v>
      </c>
      <c r="G5239" s="614">
        <v>0</v>
      </c>
      <c r="H5239" s="611"/>
    </row>
    <row r="5240" spans="1:8" ht="47.25">
      <c r="A5240" s="608" t="s">
        <v>325</v>
      </c>
      <c r="B5240" s="612" t="s">
        <v>638</v>
      </c>
      <c r="C5240" s="610" t="s">
        <v>379</v>
      </c>
      <c r="D5240" s="610" t="s">
        <v>379</v>
      </c>
      <c r="E5240" s="610" t="s">
        <v>379</v>
      </c>
      <c r="F5240" s="610" t="s">
        <v>379</v>
      </c>
      <c r="G5240" s="610" t="s">
        <v>379</v>
      </c>
      <c r="H5240" s="611" t="s">
        <v>626</v>
      </c>
    </row>
    <row r="5241" spans="1:8" ht="31.5">
      <c r="A5241" s="608" t="s">
        <v>639</v>
      </c>
      <c r="B5241" s="612" t="s">
        <v>640</v>
      </c>
      <c r="C5241" s="610" t="s">
        <v>379</v>
      </c>
      <c r="D5241" s="610" t="s">
        <v>379</v>
      </c>
      <c r="E5241" s="610" t="s">
        <v>379</v>
      </c>
      <c r="F5241" s="610" t="s">
        <v>379</v>
      </c>
      <c r="G5241" s="610" t="s">
        <v>379</v>
      </c>
      <c r="H5241" s="611" t="s">
        <v>626</v>
      </c>
    </row>
    <row r="5242" spans="1:8" ht="12.75" customHeight="1">
      <c r="A5242" s="608">
        <v>3</v>
      </c>
      <c r="B5242" s="706" t="s">
        <v>641</v>
      </c>
      <c r="C5242" s="706"/>
      <c r="D5242" s="706"/>
      <c r="E5242" s="706"/>
      <c r="F5242" s="706"/>
      <c r="G5242" s="706"/>
      <c r="H5242" s="706"/>
    </row>
    <row r="5243" spans="1:8" ht="31.5">
      <c r="A5243" s="608" t="s">
        <v>378</v>
      </c>
      <c r="B5243" s="613" t="s">
        <v>642</v>
      </c>
      <c r="C5243" s="610" t="s">
        <v>379</v>
      </c>
      <c r="D5243" s="610" t="s">
        <v>379</v>
      </c>
      <c r="E5243" s="610" t="s">
        <v>379</v>
      </c>
      <c r="F5243" s="610" t="s">
        <v>379</v>
      </c>
      <c r="G5243" s="610" t="s">
        <v>379</v>
      </c>
      <c r="H5243" s="611" t="s">
        <v>626</v>
      </c>
    </row>
    <row r="5244" spans="1:8" ht="15.75">
      <c r="A5244" s="608" t="s">
        <v>643</v>
      </c>
      <c r="B5244" s="613" t="s">
        <v>644</v>
      </c>
      <c r="C5244" s="610" t="s">
        <v>676</v>
      </c>
      <c r="D5244" s="610" t="s">
        <v>678</v>
      </c>
      <c r="E5244" s="610" t="s">
        <v>379</v>
      </c>
      <c r="F5244" s="610" t="s">
        <v>379</v>
      </c>
      <c r="G5244" s="614">
        <v>0</v>
      </c>
      <c r="H5244" s="611"/>
    </row>
    <row r="5245" spans="1:8" ht="15.75">
      <c r="A5245" s="608" t="s">
        <v>380</v>
      </c>
      <c r="B5245" s="613" t="s">
        <v>646</v>
      </c>
      <c r="C5245" s="610" t="s">
        <v>679</v>
      </c>
      <c r="D5245" s="610" t="s">
        <v>680</v>
      </c>
      <c r="E5245" s="610" t="s">
        <v>379</v>
      </c>
      <c r="F5245" s="610" t="s">
        <v>379</v>
      </c>
      <c r="G5245" s="614">
        <v>0</v>
      </c>
      <c r="H5245" s="611"/>
    </row>
    <row r="5246" spans="1:8" ht="15.75">
      <c r="A5246" s="608" t="s">
        <v>649</v>
      </c>
      <c r="B5246" s="613" t="s">
        <v>650</v>
      </c>
      <c r="C5246" s="610" t="s">
        <v>681</v>
      </c>
      <c r="D5246" s="610" t="s">
        <v>682</v>
      </c>
      <c r="E5246" s="610" t="s">
        <v>379</v>
      </c>
      <c r="F5246" s="610" t="s">
        <v>379</v>
      </c>
      <c r="G5246" s="614">
        <v>0</v>
      </c>
      <c r="H5246" s="611"/>
    </row>
    <row r="5247" spans="1:8" ht="15.75">
      <c r="A5247" s="608" t="s">
        <v>653</v>
      </c>
      <c r="B5247" s="613" t="s">
        <v>654</v>
      </c>
      <c r="C5247" s="610" t="s">
        <v>682</v>
      </c>
      <c r="D5247" s="610" t="s">
        <v>677</v>
      </c>
      <c r="E5247" s="610" t="s">
        <v>379</v>
      </c>
      <c r="F5247" s="610" t="s">
        <v>379</v>
      </c>
      <c r="G5247" s="614">
        <v>0</v>
      </c>
      <c r="H5247" s="611"/>
    </row>
    <row r="5248" spans="1:8" ht="12.75" customHeight="1">
      <c r="A5248" s="608">
        <v>4</v>
      </c>
      <c r="B5248" s="706" t="s">
        <v>656</v>
      </c>
      <c r="C5248" s="706"/>
      <c r="D5248" s="706"/>
      <c r="E5248" s="706"/>
      <c r="F5248" s="706"/>
      <c r="G5248" s="706"/>
      <c r="H5248" s="706"/>
    </row>
    <row r="5249" spans="1:8" ht="31.5">
      <c r="A5249" s="608" t="s">
        <v>657</v>
      </c>
      <c r="B5249" s="612" t="s">
        <v>658</v>
      </c>
      <c r="C5249" s="610" t="s">
        <v>379</v>
      </c>
      <c r="D5249" s="610" t="s">
        <v>379</v>
      </c>
      <c r="E5249" s="610" t="s">
        <v>379</v>
      </c>
      <c r="F5249" s="610" t="s">
        <v>379</v>
      </c>
      <c r="G5249" s="610" t="s">
        <v>379</v>
      </c>
      <c r="H5249" s="611" t="s">
        <v>626</v>
      </c>
    </row>
    <row r="5250" spans="1:8" ht="47.25">
      <c r="A5250" s="608" t="s">
        <v>659</v>
      </c>
      <c r="B5250" s="612" t="s">
        <v>660</v>
      </c>
      <c r="C5250" s="610" t="s">
        <v>379</v>
      </c>
      <c r="D5250" s="610" t="s">
        <v>379</v>
      </c>
      <c r="E5250" s="610" t="s">
        <v>379</v>
      </c>
      <c r="F5250" s="610" t="s">
        <v>379</v>
      </c>
      <c r="G5250" s="610" t="s">
        <v>379</v>
      </c>
      <c r="H5250" s="611" t="s">
        <v>626</v>
      </c>
    </row>
    <row r="5251" spans="1:8" ht="31.5">
      <c r="A5251" s="608" t="s">
        <v>661</v>
      </c>
      <c r="B5251" s="613" t="s">
        <v>662</v>
      </c>
      <c r="C5251" s="610" t="s">
        <v>827</v>
      </c>
      <c r="D5251" s="610" t="s">
        <v>723</v>
      </c>
      <c r="E5251" s="610" t="s">
        <v>379</v>
      </c>
      <c r="F5251" s="610" t="s">
        <v>379</v>
      </c>
      <c r="G5251" s="614">
        <v>0</v>
      </c>
      <c r="H5251" s="611" t="s">
        <v>626</v>
      </c>
    </row>
    <row r="5252" spans="1:8" ht="31.5">
      <c r="A5252" s="615" t="s">
        <v>663</v>
      </c>
      <c r="B5252" s="616" t="s">
        <v>664</v>
      </c>
      <c r="C5252" s="617" t="s">
        <v>827</v>
      </c>
      <c r="D5252" s="617" t="s">
        <v>723</v>
      </c>
      <c r="E5252" s="617" t="s">
        <v>379</v>
      </c>
      <c r="F5252" s="617" t="s">
        <v>379</v>
      </c>
      <c r="G5252" s="623">
        <v>0</v>
      </c>
      <c r="H5252" s="618" t="s">
        <v>626</v>
      </c>
    </row>
    <row r="5253" spans="1:8" ht="15.75">
      <c r="A5253" s="619"/>
      <c r="B5253" s="620"/>
      <c r="C5253" s="621"/>
      <c r="D5253" s="621"/>
      <c r="E5253" s="621"/>
      <c r="F5253" s="621"/>
      <c r="G5253" s="621"/>
      <c r="H5253" s="148"/>
    </row>
    <row r="5254" spans="1:8" ht="12.75" customHeight="1">
      <c r="A5254" s="707" t="s">
        <v>665</v>
      </c>
      <c r="B5254" s="707"/>
      <c r="C5254" s="707"/>
      <c r="D5254" s="707"/>
      <c r="E5254" s="707"/>
      <c r="F5254" s="707"/>
      <c r="G5254" s="707"/>
      <c r="H5254" s="707"/>
    </row>
    <row r="5257" ht="15.75">
      <c r="H5257" s="11" t="s">
        <v>609</v>
      </c>
    </row>
    <row r="5258" ht="15.75">
      <c r="H5258" s="11" t="s">
        <v>610</v>
      </c>
    </row>
    <row r="5259" ht="15.75">
      <c r="H5259" s="11" t="s">
        <v>611</v>
      </c>
    </row>
    <row r="5260" ht="15.75">
      <c r="H5260" s="11"/>
    </row>
    <row r="5261" spans="1:8" ht="12.75" customHeight="1">
      <c r="A5261" s="713" t="s">
        <v>612</v>
      </c>
      <c r="B5261" s="713"/>
      <c r="C5261" s="713"/>
      <c r="D5261" s="713"/>
      <c r="E5261" s="713"/>
      <c r="F5261" s="713"/>
      <c r="G5261" s="713"/>
      <c r="H5261" s="713"/>
    </row>
    <row r="5262" spans="1:8" ht="12.75" customHeight="1">
      <c r="A5262" s="713" t="s">
        <v>613</v>
      </c>
      <c r="B5262" s="713"/>
      <c r="C5262" s="713"/>
      <c r="D5262" s="713"/>
      <c r="E5262" s="713"/>
      <c r="F5262" s="713"/>
      <c r="G5262" s="713"/>
      <c r="H5262" s="713"/>
    </row>
    <row r="5263" ht="15.75">
      <c r="H5263" s="11" t="s">
        <v>43</v>
      </c>
    </row>
    <row r="5264" ht="15.75">
      <c r="H5264" s="11" t="s">
        <v>44</v>
      </c>
    </row>
    <row r="5265" ht="15.75">
      <c r="H5265" s="11" t="s">
        <v>45</v>
      </c>
    </row>
    <row r="5266" ht="15.75">
      <c r="H5266" s="594" t="s">
        <v>614</v>
      </c>
    </row>
    <row r="5267" ht="15.75">
      <c r="H5267" s="11" t="s">
        <v>615</v>
      </c>
    </row>
    <row r="5268" ht="15.75">
      <c r="H5268" s="11" t="s">
        <v>47</v>
      </c>
    </row>
    <row r="5269" ht="15.75">
      <c r="A5269" s="595"/>
    </row>
    <row r="5270" ht="15.75">
      <c r="A5270" s="3" t="s">
        <v>909</v>
      </c>
    </row>
    <row r="5271" spans="1:8" ht="12.75" customHeight="1">
      <c r="A5271" s="717" t="s">
        <v>0</v>
      </c>
      <c r="B5271" s="714"/>
      <c r="C5271" s="714"/>
      <c r="D5271" s="714"/>
      <c r="E5271" s="714"/>
      <c r="F5271" s="714"/>
      <c r="G5271" s="714"/>
      <c r="H5271" s="714"/>
    </row>
    <row r="5272" spans="1:8" ht="16.5" thickBot="1">
      <c r="A5272" s="597"/>
      <c r="B5272" s="597"/>
      <c r="C5272" s="598"/>
      <c r="D5272" s="598"/>
      <c r="E5272" s="598"/>
      <c r="F5272" s="598"/>
      <c r="G5272" s="598"/>
      <c r="H5272" s="598"/>
    </row>
    <row r="5273" spans="1:8" ht="12.75" customHeight="1">
      <c r="A5273" s="708" t="s">
        <v>617</v>
      </c>
      <c r="B5273" s="710" t="s">
        <v>618</v>
      </c>
      <c r="C5273" s="711" t="s">
        <v>619</v>
      </c>
      <c r="D5273" s="711"/>
      <c r="E5273" s="711"/>
      <c r="F5273" s="711"/>
      <c r="G5273" s="712" t="s">
        <v>620</v>
      </c>
      <c r="H5273" s="708" t="s">
        <v>621</v>
      </c>
    </row>
    <row r="5274" spans="1:8" ht="15.75">
      <c r="A5274" s="708"/>
      <c r="B5274" s="710"/>
      <c r="C5274" s="711"/>
      <c r="D5274" s="711"/>
      <c r="E5274" s="711"/>
      <c r="F5274" s="711"/>
      <c r="G5274" s="712"/>
      <c r="H5274" s="708"/>
    </row>
    <row r="5275" spans="1:8" ht="31.5">
      <c r="A5275" s="708"/>
      <c r="B5275" s="710"/>
      <c r="C5275" s="601" t="s">
        <v>622</v>
      </c>
      <c r="D5275" s="601" t="s">
        <v>623</v>
      </c>
      <c r="E5275" s="602" t="s">
        <v>622</v>
      </c>
      <c r="F5275" s="603" t="s">
        <v>623</v>
      </c>
      <c r="G5275" s="712"/>
      <c r="H5275" s="708"/>
    </row>
    <row r="5276" spans="1:8" ht="15.75">
      <c r="A5276" s="599">
        <v>1</v>
      </c>
      <c r="B5276" s="599">
        <v>2</v>
      </c>
      <c r="C5276" s="604">
        <v>3</v>
      </c>
      <c r="D5276" s="604">
        <v>4</v>
      </c>
      <c r="E5276" s="605"/>
      <c r="F5276" s="606"/>
      <c r="G5276" s="600">
        <v>5</v>
      </c>
      <c r="H5276" s="599">
        <v>6</v>
      </c>
    </row>
    <row r="5277" spans="1:8" ht="12.75" customHeight="1">
      <c r="A5277" s="607">
        <v>1</v>
      </c>
      <c r="B5277" s="709" t="s">
        <v>624</v>
      </c>
      <c r="C5277" s="709"/>
      <c r="D5277" s="709"/>
      <c r="E5277" s="709"/>
      <c r="F5277" s="709"/>
      <c r="G5277" s="709"/>
      <c r="H5277" s="709"/>
    </row>
    <row r="5278" spans="1:8" ht="15.75">
      <c r="A5278" s="608" t="s">
        <v>74</v>
      </c>
      <c r="B5278" s="609" t="s">
        <v>625</v>
      </c>
      <c r="C5278" s="610" t="s">
        <v>379</v>
      </c>
      <c r="D5278" s="610" t="s">
        <v>379</v>
      </c>
      <c r="E5278" s="610" t="s">
        <v>379</v>
      </c>
      <c r="F5278" s="610" t="s">
        <v>379</v>
      </c>
      <c r="G5278" s="610" t="s">
        <v>379</v>
      </c>
      <c r="H5278" s="611" t="s">
        <v>626</v>
      </c>
    </row>
    <row r="5279" spans="1:8" ht="15.75">
      <c r="A5279" s="608" t="s">
        <v>313</v>
      </c>
      <c r="B5279" s="609" t="s">
        <v>627</v>
      </c>
      <c r="C5279" s="610" t="s">
        <v>379</v>
      </c>
      <c r="D5279" s="610" t="s">
        <v>379</v>
      </c>
      <c r="E5279" s="610" t="s">
        <v>379</v>
      </c>
      <c r="F5279" s="610" t="s">
        <v>379</v>
      </c>
      <c r="G5279" s="610" t="s">
        <v>379</v>
      </c>
      <c r="H5279" s="611" t="s">
        <v>626</v>
      </c>
    </row>
    <row r="5280" spans="1:8" ht="31.5">
      <c r="A5280" s="608" t="s">
        <v>315</v>
      </c>
      <c r="B5280" s="612" t="s">
        <v>628</v>
      </c>
      <c r="C5280" s="610" t="s">
        <v>379</v>
      </c>
      <c r="D5280" s="610" t="s">
        <v>379</v>
      </c>
      <c r="E5280" s="610" t="s">
        <v>379</v>
      </c>
      <c r="F5280" s="610" t="s">
        <v>379</v>
      </c>
      <c r="G5280" s="610" t="s">
        <v>379</v>
      </c>
      <c r="H5280" s="611" t="s">
        <v>626</v>
      </c>
    </row>
    <row r="5281" spans="1:8" ht="47.25">
      <c r="A5281" s="608" t="s">
        <v>317</v>
      </c>
      <c r="B5281" s="612" t="s">
        <v>629</v>
      </c>
      <c r="C5281" s="610" t="s">
        <v>379</v>
      </c>
      <c r="D5281" s="610" t="s">
        <v>379</v>
      </c>
      <c r="E5281" s="610" t="s">
        <v>379</v>
      </c>
      <c r="F5281" s="610" t="s">
        <v>379</v>
      </c>
      <c r="G5281" s="610" t="s">
        <v>379</v>
      </c>
      <c r="H5281" s="611" t="s">
        <v>626</v>
      </c>
    </row>
    <row r="5282" spans="1:8" ht="15.75">
      <c r="A5282" s="608" t="s">
        <v>630</v>
      </c>
      <c r="B5282" s="613" t="s">
        <v>631</v>
      </c>
      <c r="C5282" s="610" t="s">
        <v>379</v>
      </c>
      <c r="D5282" s="610" t="s">
        <v>379</v>
      </c>
      <c r="E5282" s="610" t="s">
        <v>379</v>
      </c>
      <c r="F5282" s="610" t="s">
        <v>379</v>
      </c>
      <c r="G5282" s="610" t="s">
        <v>379</v>
      </c>
      <c r="H5282" s="611" t="s">
        <v>626</v>
      </c>
    </row>
    <row r="5283" spans="1:8" ht="15.75">
      <c r="A5283" s="608" t="s">
        <v>632</v>
      </c>
      <c r="B5283" s="613" t="s">
        <v>633</v>
      </c>
      <c r="C5283" s="610" t="s">
        <v>379</v>
      </c>
      <c r="D5283" s="610" t="s">
        <v>379</v>
      </c>
      <c r="E5283" s="610" t="s">
        <v>379</v>
      </c>
      <c r="F5283" s="610" t="s">
        <v>379</v>
      </c>
      <c r="G5283" s="610" t="s">
        <v>379</v>
      </c>
      <c r="H5283" s="611" t="s">
        <v>626</v>
      </c>
    </row>
    <row r="5284" spans="1:8" ht="12.75" customHeight="1">
      <c r="A5284" s="608">
        <v>2</v>
      </c>
      <c r="B5284" s="706" t="s">
        <v>634</v>
      </c>
      <c r="C5284" s="706"/>
      <c r="D5284" s="706"/>
      <c r="E5284" s="706"/>
      <c r="F5284" s="706"/>
      <c r="G5284" s="706"/>
      <c r="H5284" s="706"/>
    </row>
    <row r="5285" spans="1:8" ht="31.5">
      <c r="A5285" s="608" t="s">
        <v>321</v>
      </c>
      <c r="B5285" s="612" t="s">
        <v>635</v>
      </c>
      <c r="C5285" s="610" t="s">
        <v>676</v>
      </c>
      <c r="D5285" s="610" t="s">
        <v>677</v>
      </c>
      <c r="E5285" s="610" t="s">
        <v>379</v>
      </c>
      <c r="F5285" s="610" t="s">
        <v>379</v>
      </c>
      <c r="G5285" s="614">
        <v>0</v>
      </c>
      <c r="H5285" s="611"/>
    </row>
    <row r="5286" spans="1:8" ht="47.25">
      <c r="A5286" s="608" t="s">
        <v>325</v>
      </c>
      <c r="B5286" s="612" t="s">
        <v>638</v>
      </c>
      <c r="C5286" s="610" t="s">
        <v>379</v>
      </c>
      <c r="D5286" s="610" t="s">
        <v>379</v>
      </c>
      <c r="E5286" s="610" t="s">
        <v>379</v>
      </c>
      <c r="F5286" s="610" t="s">
        <v>379</v>
      </c>
      <c r="G5286" s="610" t="s">
        <v>379</v>
      </c>
      <c r="H5286" s="611" t="s">
        <v>626</v>
      </c>
    </row>
    <row r="5287" spans="1:8" ht="31.5">
      <c r="A5287" s="608" t="s">
        <v>639</v>
      </c>
      <c r="B5287" s="612" t="s">
        <v>640</v>
      </c>
      <c r="C5287" s="610" t="s">
        <v>379</v>
      </c>
      <c r="D5287" s="610" t="s">
        <v>379</v>
      </c>
      <c r="E5287" s="610" t="s">
        <v>379</v>
      </c>
      <c r="F5287" s="610" t="s">
        <v>379</v>
      </c>
      <c r="G5287" s="610" t="s">
        <v>379</v>
      </c>
      <c r="H5287" s="611" t="s">
        <v>626</v>
      </c>
    </row>
    <row r="5288" spans="1:8" ht="12.75" customHeight="1">
      <c r="A5288" s="608">
        <v>3</v>
      </c>
      <c r="B5288" s="706" t="s">
        <v>641</v>
      </c>
      <c r="C5288" s="706"/>
      <c r="D5288" s="706"/>
      <c r="E5288" s="706"/>
      <c r="F5288" s="706"/>
      <c r="G5288" s="706"/>
      <c r="H5288" s="706"/>
    </row>
    <row r="5289" spans="1:8" ht="31.5">
      <c r="A5289" s="608" t="s">
        <v>378</v>
      </c>
      <c r="B5289" s="613" t="s">
        <v>642</v>
      </c>
      <c r="C5289" s="610" t="s">
        <v>379</v>
      </c>
      <c r="D5289" s="610" t="s">
        <v>379</v>
      </c>
      <c r="E5289" s="610" t="s">
        <v>379</v>
      </c>
      <c r="F5289" s="610" t="s">
        <v>379</v>
      </c>
      <c r="G5289" s="610" t="s">
        <v>379</v>
      </c>
      <c r="H5289" s="611" t="s">
        <v>626</v>
      </c>
    </row>
    <row r="5290" spans="1:8" ht="15.75">
      <c r="A5290" s="608" t="s">
        <v>643</v>
      </c>
      <c r="B5290" s="613" t="s">
        <v>644</v>
      </c>
      <c r="C5290" s="610" t="s">
        <v>676</v>
      </c>
      <c r="D5290" s="610" t="s">
        <v>678</v>
      </c>
      <c r="E5290" s="610" t="s">
        <v>379</v>
      </c>
      <c r="F5290" s="610" t="s">
        <v>379</v>
      </c>
      <c r="G5290" s="614">
        <v>0</v>
      </c>
      <c r="H5290" s="611"/>
    </row>
    <row r="5291" spans="1:8" ht="15.75">
      <c r="A5291" s="608" t="s">
        <v>380</v>
      </c>
      <c r="B5291" s="613" t="s">
        <v>646</v>
      </c>
      <c r="C5291" s="610" t="s">
        <v>679</v>
      </c>
      <c r="D5291" s="610" t="s">
        <v>680</v>
      </c>
      <c r="E5291" s="610" t="s">
        <v>379</v>
      </c>
      <c r="F5291" s="610" t="s">
        <v>379</v>
      </c>
      <c r="G5291" s="614">
        <v>0</v>
      </c>
      <c r="H5291" s="611"/>
    </row>
    <row r="5292" spans="1:8" ht="15.75">
      <c r="A5292" s="608" t="s">
        <v>649</v>
      </c>
      <c r="B5292" s="613" t="s">
        <v>650</v>
      </c>
      <c r="C5292" s="610" t="s">
        <v>681</v>
      </c>
      <c r="D5292" s="610" t="s">
        <v>682</v>
      </c>
      <c r="E5292" s="610" t="s">
        <v>379</v>
      </c>
      <c r="F5292" s="610" t="s">
        <v>379</v>
      </c>
      <c r="G5292" s="614">
        <v>0</v>
      </c>
      <c r="H5292" s="611"/>
    </row>
    <row r="5293" spans="1:8" ht="15.75">
      <c r="A5293" s="608" t="s">
        <v>653</v>
      </c>
      <c r="B5293" s="613" t="s">
        <v>654</v>
      </c>
      <c r="C5293" s="610" t="s">
        <v>682</v>
      </c>
      <c r="D5293" s="610" t="s">
        <v>677</v>
      </c>
      <c r="E5293" s="610" t="s">
        <v>379</v>
      </c>
      <c r="F5293" s="610" t="s">
        <v>379</v>
      </c>
      <c r="G5293" s="614">
        <v>0</v>
      </c>
      <c r="H5293" s="611"/>
    </row>
    <row r="5294" spans="1:8" ht="12.75" customHeight="1">
      <c r="A5294" s="608">
        <v>4</v>
      </c>
      <c r="B5294" s="706" t="s">
        <v>656</v>
      </c>
      <c r="C5294" s="706"/>
      <c r="D5294" s="706"/>
      <c r="E5294" s="706"/>
      <c r="F5294" s="706"/>
      <c r="G5294" s="706"/>
      <c r="H5294" s="706"/>
    </row>
    <row r="5295" spans="1:8" ht="31.5">
      <c r="A5295" s="608" t="s">
        <v>657</v>
      </c>
      <c r="B5295" s="612" t="s">
        <v>658</v>
      </c>
      <c r="C5295" s="610" t="s">
        <v>379</v>
      </c>
      <c r="D5295" s="610" t="s">
        <v>379</v>
      </c>
      <c r="E5295" s="610" t="s">
        <v>379</v>
      </c>
      <c r="F5295" s="610" t="s">
        <v>379</v>
      </c>
      <c r="G5295" s="610" t="s">
        <v>379</v>
      </c>
      <c r="H5295" s="611" t="s">
        <v>626</v>
      </c>
    </row>
    <row r="5296" spans="1:8" ht="47.25">
      <c r="A5296" s="608" t="s">
        <v>659</v>
      </c>
      <c r="B5296" s="612" t="s">
        <v>660</v>
      </c>
      <c r="C5296" s="610" t="s">
        <v>379</v>
      </c>
      <c r="D5296" s="610" t="s">
        <v>379</v>
      </c>
      <c r="E5296" s="610" t="s">
        <v>379</v>
      </c>
      <c r="F5296" s="610" t="s">
        <v>379</v>
      </c>
      <c r="G5296" s="610" t="s">
        <v>379</v>
      </c>
      <c r="H5296" s="611" t="s">
        <v>626</v>
      </c>
    </row>
    <row r="5297" spans="1:8" ht="31.5">
      <c r="A5297" s="608" t="s">
        <v>661</v>
      </c>
      <c r="B5297" s="613" t="s">
        <v>662</v>
      </c>
      <c r="C5297" s="610" t="s">
        <v>827</v>
      </c>
      <c r="D5297" s="610" t="s">
        <v>723</v>
      </c>
      <c r="E5297" s="610" t="s">
        <v>379</v>
      </c>
      <c r="F5297" s="610" t="s">
        <v>379</v>
      </c>
      <c r="G5297" s="614">
        <v>0</v>
      </c>
      <c r="H5297" s="611"/>
    </row>
    <row r="5298" spans="1:8" ht="31.5">
      <c r="A5298" s="615" t="s">
        <v>663</v>
      </c>
      <c r="B5298" s="616" t="s">
        <v>664</v>
      </c>
      <c r="C5298" s="617" t="s">
        <v>827</v>
      </c>
      <c r="D5298" s="617" t="s">
        <v>723</v>
      </c>
      <c r="E5298" s="617" t="s">
        <v>379</v>
      </c>
      <c r="F5298" s="617" t="s">
        <v>379</v>
      </c>
      <c r="G5298" s="623">
        <v>0</v>
      </c>
      <c r="H5298" s="618"/>
    </row>
    <row r="5299" spans="1:8" ht="15.75">
      <c r="A5299" s="619"/>
      <c r="B5299" s="620"/>
      <c r="C5299" s="621"/>
      <c r="D5299" s="621"/>
      <c r="E5299" s="621"/>
      <c r="F5299" s="621"/>
      <c r="G5299" s="621"/>
      <c r="H5299" s="148"/>
    </row>
    <row r="5300" spans="1:8" ht="12.75" customHeight="1">
      <c r="A5300" s="707" t="s">
        <v>665</v>
      </c>
      <c r="B5300" s="707"/>
      <c r="C5300" s="707"/>
      <c r="D5300" s="707"/>
      <c r="E5300" s="707"/>
      <c r="F5300" s="707"/>
      <c r="G5300" s="707"/>
      <c r="H5300" s="707"/>
    </row>
    <row r="5304" ht="15.75">
      <c r="H5304" s="11" t="s">
        <v>609</v>
      </c>
    </row>
    <row r="5305" ht="15.75">
      <c r="H5305" s="11" t="s">
        <v>610</v>
      </c>
    </row>
    <row r="5306" ht="15.75">
      <c r="H5306" s="11" t="s">
        <v>611</v>
      </c>
    </row>
    <row r="5307" ht="15.75">
      <c r="H5307" s="11"/>
    </row>
    <row r="5308" spans="1:8" ht="12.75" customHeight="1">
      <c r="A5308" s="713" t="s">
        <v>612</v>
      </c>
      <c r="B5308" s="713"/>
      <c r="C5308" s="713"/>
      <c r="D5308" s="713"/>
      <c r="E5308" s="713"/>
      <c r="F5308" s="713"/>
      <c r="G5308" s="713"/>
      <c r="H5308" s="713"/>
    </row>
    <row r="5309" spans="1:8" ht="12.75" customHeight="1">
      <c r="A5309" s="713" t="s">
        <v>613</v>
      </c>
      <c r="B5309" s="713"/>
      <c r="C5309" s="713"/>
      <c r="D5309" s="713"/>
      <c r="E5309" s="713"/>
      <c r="F5309" s="713"/>
      <c r="G5309" s="713"/>
      <c r="H5309" s="713"/>
    </row>
    <row r="5310" ht="15.75">
      <c r="H5310" s="11" t="s">
        <v>43</v>
      </c>
    </row>
    <row r="5311" ht="15.75">
      <c r="H5311" s="11" t="s">
        <v>44</v>
      </c>
    </row>
    <row r="5312" ht="15.75">
      <c r="H5312" s="11" t="s">
        <v>45</v>
      </c>
    </row>
    <row r="5313" ht="15.75">
      <c r="H5313" s="594" t="s">
        <v>614</v>
      </c>
    </row>
    <row r="5314" ht="15.75">
      <c r="H5314" s="11" t="s">
        <v>615</v>
      </c>
    </row>
    <row r="5315" ht="15.75">
      <c r="H5315" s="11" t="s">
        <v>47</v>
      </c>
    </row>
    <row r="5316" ht="15.75">
      <c r="A5316" s="595"/>
    </row>
    <row r="5317" ht="15.75">
      <c r="A5317" s="3" t="s">
        <v>910</v>
      </c>
    </row>
    <row r="5318" spans="1:8" ht="12.75" customHeight="1">
      <c r="A5318" s="717" t="s">
        <v>0</v>
      </c>
      <c r="B5318" s="714"/>
      <c r="C5318" s="714"/>
      <c r="D5318" s="714"/>
      <c r="E5318" s="714"/>
      <c r="F5318" s="714"/>
      <c r="G5318" s="714"/>
      <c r="H5318" s="714"/>
    </row>
    <row r="5319" spans="1:8" ht="16.5" thickBot="1">
      <c r="A5319" s="597"/>
      <c r="B5319" s="597"/>
      <c r="C5319" s="598"/>
      <c r="D5319" s="598"/>
      <c r="E5319" s="598"/>
      <c r="F5319" s="598"/>
      <c r="G5319" s="598"/>
      <c r="H5319" s="598"/>
    </row>
    <row r="5320" spans="1:8" ht="12.75" customHeight="1">
      <c r="A5320" s="708" t="s">
        <v>617</v>
      </c>
      <c r="B5320" s="710" t="s">
        <v>618</v>
      </c>
      <c r="C5320" s="711" t="s">
        <v>619</v>
      </c>
      <c r="D5320" s="711"/>
      <c r="E5320" s="711"/>
      <c r="F5320" s="711"/>
      <c r="G5320" s="712" t="s">
        <v>620</v>
      </c>
      <c r="H5320" s="708" t="s">
        <v>621</v>
      </c>
    </row>
    <row r="5321" spans="1:8" ht="15.75">
      <c r="A5321" s="708"/>
      <c r="B5321" s="710"/>
      <c r="C5321" s="711"/>
      <c r="D5321" s="711"/>
      <c r="E5321" s="711"/>
      <c r="F5321" s="711"/>
      <c r="G5321" s="712"/>
      <c r="H5321" s="708"/>
    </row>
    <row r="5322" spans="1:8" ht="31.5">
      <c r="A5322" s="708"/>
      <c r="B5322" s="710"/>
      <c r="C5322" s="601" t="s">
        <v>622</v>
      </c>
      <c r="D5322" s="601" t="s">
        <v>623</v>
      </c>
      <c r="E5322" s="602" t="s">
        <v>622</v>
      </c>
      <c r="F5322" s="603" t="s">
        <v>623</v>
      </c>
      <c r="G5322" s="712"/>
      <c r="H5322" s="708"/>
    </row>
    <row r="5323" spans="1:8" ht="15.75">
      <c r="A5323" s="599">
        <v>1</v>
      </c>
      <c r="B5323" s="599">
        <v>2</v>
      </c>
      <c r="C5323" s="604">
        <v>3</v>
      </c>
      <c r="D5323" s="604">
        <v>4</v>
      </c>
      <c r="E5323" s="605"/>
      <c r="F5323" s="606"/>
      <c r="G5323" s="600">
        <v>5</v>
      </c>
      <c r="H5323" s="599">
        <v>6</v>
      </c>
    </row>
    <row r="5324" spans="1:8" ht="12.75" customHeight="1">
      <c r="A5324" s="607">
        <v>1</v>
      </c>
      <c r="B5324" s="709" t="s">
        <v>624</v>
      </c>
      <c r="C5324" s="709"/>
      <c r="D5324" s="709"/>
      <c r="E5324" s="709"/>
      <c r="F5324" s="709"/>
      <c r="G5324" s="709"/>
      <c r="H5324" s="709"/>
    </row>
    <row r="5325" spans="1:8" ht="15.75">
      <c r="A5325" s="608" t="s">
        <v>74</v>
      </c>
      <c r="B5325" s="609" t="s">
        <v>625</v>
      </c>
      <c r="C5325" s="610" t="s">
        <v>379</v>
      </c>
      <c r="D5325" s="610" t="s">
        <v>379</v>
      </c>
      <c r="E5325" s="610" t="s">
        <v>379</v>
      </c>
      <c r="F5325" s="610" t="s">
        <v>379</v>
      </c>
      <c r="G5325" s="610" t="s">
        <v>379</v>
      </c>
      <c r="H5325" s="611" t="s">
        <v>626</v>
      </c>
    </row>
    <row r="5326" spans="1:8" ht="15.75">
      <c r="A5326" s="608" t="s">
        <v>313</v>
      </c>
      <c r="B5326" s="609" t="s">
        <v>627</v>
      </c>
      <c r="C5326" s="610" t="s">
        <v>379</v>
      </c>
      <c r="D5326" s="610" t="s">
        <v>379</v>
      </c>
      <c r="E5326" s="610" t="s">
        <v>379</v>
      </c>
      <c r="F5326" s="610" t="s">
        <v>379</v>
      </c>
      <c r="G5326" s="610" t="s">
        <v>379</v>
      </c>
      <c r="H5326" s="611" t="s">
        <v>626</v>
      </c>
    </row>
    <row r="5327" spans="1:8" ht="31.5">
      <c r="A5327" s="608" t="s">
        <v>315</v>
      </c>
      <c r="B5327" s="612" t="s">
        <v>628</v>
      </c>
      <c r="C5327" s="610" t="s">
        <v>379</v>
      </c>
      <c r="D5327" s="610" t="s">
        <v>379</v>
      </c>
      <c r="E5327" s="610" t="s">
        <v>379</v>
      </c>
      <c r="F5327" s="610" t="s">
        <v>379</v>
      </c>
      <c r="G5327" s="610" t="s">
        <v>379</v>
      </c>
      <c r="H5327" s="611" t="s">
        <v>626</v>
      </c>
    </row>
    <row r="5328" spans="1:8" ht="47.25">
      <c r="A5328" s="608" t="s">
        <v>317</v>
      </c>
      <c r="B5328" s="612" t="s">
        <v>629</v>
      </c>
      <c r="C5328" s="610" t="s">
        <v>379</v>
      </c>
      <c r="D5328" s="610" t="s">
        <v>379</v>
      </c>
      <c r="E5328" s="610" t="s">
        <v>379</v>
      </c>
      <c r="F5328" s="610" t="s">
        <v>379</v>
      </c>
      <c r="G5328" s="610" t="s">
        <v>379</v>
      </c>
      <c r="H5328" s="611" t="s">
        <v>626</v>
      </c>
    </row>
    <row r="5329" spans="1:8" ht="15.75">
      <c r="A5329" s="608" t="s">
        <v>630</v>
      </c>
      <c r="B5329" s="613" t="s">
        <v>631</v>
      </c>
      <c r="C5329" s="610" t="s">
        <v>379</v>
      </c>
      <c r="D5329" s="610" t="s">
        <v>379</v>
      </c>
      <c r="E5329" s="610" t="s">
        <v>379</v>
      </c>
      <c r="F5329" s="610" t="s">
        <v>379</v>
      </c>
      <c r="G5329" s="610" t="s">
        <v>379</v>
      </c>
      <c r="H5329" s="611" t="s">
        <v>626</v>
      </c>
    </row>
    <row r="5330" spans="1:8" ht="15.75">
      <c r="A5330" s="608" t="s">
        <v>632</v>
      </c>
      <c r="B5330" s="613" t="s">
        <v>633</v>
      </c>
      <c r="C5330" s="610" t="s">
        <v>379</v>
      </c>
      <c r="D5330" s="610" t="s">
        <v>379</v>
      </c>
      <c r="E5330" s="610" t="s">
        <v>379</v>
      </c>
      <c r="F5330" s="610" t="s">
        <v>379</v>
      </c>
      <c r="G5330" s="610" t="s">
        <v>379</v>
      </c>
      <c r="H5330" s="611" t="s">
        <v>626</v>
      </c>
    </row>
    <row r="5331" spans="1:8" ht="12.75" customHeight="1">
      <c r="A5331" s="608">
        <v>2</v>
      </c>
      <c r="B5331" s="706" t="s">
        <v>634</v>
      </c>
      <c r="C5331" s="706"/>
      <c r="D5331" s="706"/>
      <c r="E5331" s="706"/>
      <c r="F5331" s="706"/>
      <c r="G5331" s="706"/>
      <c r="H5331" s="706"/>
    </row>
    <row r="5332" spans="1:8" ht="31.5">
      <c r="A5332" s="608" t="s">
        <v>321</v>
      </c>
      <c r="B5332" s="612" t="s">
        <v>635</v>
      </c>
      <c r="C5332" s="610" t="s">
        <v>676</v>
      </c>
      <c r="D5332" s="610" t="s">
        <v>677</v>
      </c>
      <c r="E5332" s="610" t="s">
        <v>379</v>
      </c>
      <c r="F5332" s="610" t="s">
        <v>379</v>
      </c>
      <c r="G5332" s="614">
        <v>0</v>
      </c>
      <c r="H5332" s="611"/>
    </row>
    <row r="5333" spans="1:8" ht="47.25">
      <c r="A5333" s="608" t="s">
        <v>325</v>
      </c>
      <c r="B5333" s="612" t="s">
        <v>638</v>
      </c>
      <c r="C5333" s="610" t="s">
        <v>379</v>
      </c>
      <c r="D5333" s="610" t="s">
        <v>379</v>
      </c>
      <c r="E5333" s="610" t="s">
        <v>379</v>
      </c>
      <c r="F5333" s="610" t="s">
        <v>379</v>
      </c>
      <c r="G5333" s="610" t="s">
        <v>379</v>
      </c>
      <c r="H5333" s="611" t="s">
        <v>626</v>
      </c>
    </row>
    <row r="5334" spans="1:8" ht="31.5">
      <c r="A5334" s="608" t="s">
        <v>639</v>
      </c>
      <c r="B5334" s="612" t="s">
        <v>640</v>
      </c>
      <c r="C5334" s="610" t="s">
        <v>379</v>
      </c>
      <c r="D5334" s="610" t="s">
        <v>379</v>
      </c>
      <c r="E5334" s="610" t="s">
        <v>379</v>
      </c>
      <c r="F5334" s="610" t="s">
        <v>379</v>
      </c>
      <c r="G5334" s="610" t="s">
        <v>379</v>
      </c>
      <c r="H5334" s="611" t="s">
        <v>626</v>
      </c>
    </row>
    <row r="5335" spans="1:8" ht="12.75" customHeight="1">
      <c r="A5335" s="608">
        <v>3</v>
      </c>
      <c r="B5335" s="706" t="s">
        <v>641</v>
      </c>
      <c r="C5335" s="706"/>
      <c r="D5335" s="706"/>
      <c r="E5335" s="706"/>
      <c r="F5335" s="706"/>
      <c r="G5335" s="706"/>
      <c r="H5335" s="706"/>
    </row>
    <row r="5336" spans="1:8" ht="31.5">
      <c r="A5336" s="608" t="s">
        <v>378</v>
      </c>
      <c r="B5336" s="613" t="s">
        <v>642</v>
      </c>
      <c r="C5336" s="610" t="s">
        <v>379</v>
      </c>
      <c r="D5336" s="610" t="s">
        <v>379</v>
      </c>
      <c r="E5336" s="610" t="s">
        <v>379</v>
      </c>
      <c r="F5336" s="610" t="s">
        <v>379</v>
      </c>
      <c r="G5336" s="610" t="s">
        <v>379</v>
      </c>
      <c r="H5336" s="611" t="s">
        <v>626</v>
      </c>
    </row>
    <row r="5337" spans="1:8" ht="15.75">
      <c r="A5337" s="608" t="s">
        <v>643</v>
      </c>
      <c r="B5337" s="613" t="s">
        <v>644</v>
      </c>
      <c r="C5337" s="610" t="s">
        <v>676</v>
      </c>
      <c r="D5337" s="610" t="s">
        <v>678</v>
      </c>
      <c r="E5337" s="610" t="s">
        <v>379</v>
      </c>
      <c r="F5337" s="610" t="s">
        <v>379</v>
      </c>
      <c r="G5337" s="614">
        <v>0</v>
      </c>
      <c r="H5337" s="611"/>
    </row>
    <row r="5338" spans="1:8" ht="15.75">
      <c r="A5338" s="608" t="s">
        <v>380</v>
      </c>
      <c r="B5338" s="613" t="s">
        <v>646</v>
      </c>
      <c r="C5338" s="610" t="s">
        <v>679</v>
      </c>
      <c r="D5338" s="610" t="s">
        <v>680</v>
      </c>
      <c r="E5338" s="610" t="s">
        <v>379</v>
      </c>
      <c r="F5338" s="610" t="s">
        <v>379</v>
      </c>
      <c r="G5338" s="614">
        <v>0</v>
      </c>
      <c r="H5338" s="611"/>
    </row>
    <row r="5339" spans="1:8" ht="15.75">
      <c r="A5339" s="608" t="s">
        <v>649</v>
      </c>
      <c r="B5339" s="613" t="s">
        <v>650</v>
      </c>
      <c r="C5339" s="610" t="s">
        <v>681</v>
      </c>
      <c r="D5339" s="610" t="s">
        <v>682</v>
      </c>
      <c r="E5339" s="610" t="s">
        <v>379</v>
      </c>
      <c r="F5339" s="610" t="s">
        <v>379</v>
      </c>
      <c r="G5339" s="614">
        <v>0</v>
      </c>
      <c r="H5339" s="611"/>
    </row>
    <row r="5340" spans="1:8" ht="15.75">
      <c r="A5340" s="608" t="s">
        <v>653</v>
      </c>
      <c r="B5340" s="613" t="s">
        <v>654</v>
      </c>
      <c r="C5340" s="610" t="s">
        <v>682</v>
      </c>
      <c r="D5340" s="610" t="s">
        <v>677</v>
      </c>
      <c r="E5340" s="610" t="s">
        <v>379</v>
      </c>
      <c r="F5340" s="610" t="s">
        <v>379</v>
      </c>
      <c r="G5340" s="614">
        <v>0</v>
      </c>
      <c r="H5340" s="611"/>
    </row>
    <row r="5341" spans="1:8" ht="12.75" customHeight="1">
      <c r="A5341" s="608">
        <v>4</v>
      </c>
      <c r="B5341" s="706" t="s">
        <v>656</v>
      </c>
      <c r="C5341" s="706"/>
      <c r="D5341" s="706"/>
      <c r="E5341" s="706"/>
      <c r="F5341" s="706"/>
      <c r="G5341" s="706"/>
      <c r="H5341" s="706"/>
    </row>
    <row r="5342" spans="1:8" ht="31.5">
      <c r="A5342" s="608" t="s">
        <v>657</v>
      </c>
      <c r="B5342" s="612" t="s">
        <v>658</v>
      </c>
      <c r="C5342" s="610" t="s">
        <v>379</v>
      </c>
      <c r="D5342" s="610" t="s">
        <v>379</v>
      </c>
      <c r="E5342" s="610" t="s">
        <v>379</v>
      </c>
      <c r="F5342" s="610" t="s">
        <v>379</v>
      </c>
      <c r="G5342" s="610" t="s">
        <v>379</v>
      </c>
      <c r="H5342" s="611" t="s">
        <v>626</v>
      </c>
    </row>
    <row r="5343" spans="1:8" ht="47.25">
      <c r="A5343" s="608" t="s">
        <v>659</v>
      </c>
      <c r="B5343" s="612" t="s">
        <v>660</v>
      </c>
      <c r="C5343" s="610" t="s">
        <v>379</v>
      </c>
      <c r="D5343" s="610" t="s">
        <v>379</v>
      </c>
      <c r="E5343" s="610" t="s">
        <v>379</v>
      </c>
      <c r="F5343" s="610" t="s">
        <v>379</v>
      </c>
      <c r="G5343" s="610" t="s">
        <v>379</v>
      </c>
      <c r="H5343" s="611" t="s">
        <v>626</v>
      </c>
    </row>
    <row r="5344" spans="1:8" ht="31.5">
      <c r="A5344" s="608" t="s">
        <v>661</v>
      </c>
      <c r="B5344" s="613" t="s">
        <v>662</v>
      </c>
      <c r="C5344" s="610" t="s">
        <v>827</v>
      </c>
      <c r="D5344" s="610" t="s">
        <v>723</v>
      </c>
      <c r="E5344" s="610" t="s">
        <v>379</v>
      </c>
      <c r="F5344" s="610" t="s">
        <v>379</v>
      </c>
      <c r="G5344" s="614">
        <v>0</v>
      </c>
      <c r="H5344" s="611"/>
    </row>
    <row r="5345" spans="1:8" ht="31.5">
      <c r="A5345" s="615" t="s">
        <v>663</v>
      </c>
      <c r="B5345" s="616" t="s">
        <v>664</v>
      </c>
      <c r="C5345" s="617" t="s">
        <v>827</v>
      </c>
      <c r="D5345" s="617" t="s">
        <v>723</v>
      </c>
      <c r="E5345" s="617" t="s">
        <v>379</v>
      </c>
      <c r="F5345" s="617" t="s">
        <v>379</v>
      </c>
      <c r="G5345" s="623">
        <v>0</v>
      </c>
      <c r="H5345" s="618"/>
    </row>
    <row r="5346" spans="1:8" ht="15.75">
      <c r="A5346" s="619"/>
      <c r="B5346" s="620"/>
      <c r="C5346" s="621"/>
      <c r="D5346" s="621"/>
      <c r="E5346" s="621"/>
      <c r="F5346" s="621"/>
      <c r="G5346" s="621"/>
      <c r="H5346" s="148"/>
    </row>
    <row r="5347" spans="1:8" ht="12.75" customHeight="1">
      <c r="A5347" s="707" t="s">
        <v>665</v>
      </c>
      <c r="B5347" s="707"/>
      <c r="C5347" s="707"/>
      <c r="D5347" s="707"/>
      <c r="E5347" s="707"/>
      <c r="F5347" s="707"/>
      <c r="G5347" s="707"/>
      <c r="H5347" s="707"/>
    </row>
    <row r="5352" ht="15.75">
      <c r="H5352" s="11" t="s">
        <v>609</v>
      </c>
    </row>
    <row r="5353" ht="15.75">
      <c r="H5353" s="11" t="s">
        <v>610</v>
      </c>
    </row>
    <row r="5354" ht="15.75">
      <c r="H5354" s="11" t="s">
        <v>611</v>
      </c>
    </row>
    <row r="5355" ht="15.75">
      <c r="H5355" s="11"/>
    </row>
    <row r="5356" spans="1:8" ht="12.75" customHeight="1">
      <c r="A5356" s="713" t="s">
        <v>612</v>
      </c>
      <c r="B5356" s="713"/>
      <c r="C5356" s="713"/>
      <c r="D5356" s="713"/>
      <c r="E5356" s="713"/>
      <c r="F5356" s="713"/>
      <c r="G5356" s="713"/>
      <c r="H5356" s="713"/>
    </row>
    <row r="5357" spans="1:8" ht="12.75" customHeight="1">
      <c r="A5357" s="713" t="s">
        <v>613</v>
      </c>
      <c r="B5357" s="713"/>
      <c r="C5357" s="713"/>
      <c r="D5357" s="713"/>
      <c r="E5357" s="713"/>
      <c r="F5357" s="713"/>
      <c r="G5357" s="713"/>
      <c r="H5357" s="713"/>
    </row>
    <row r="5358" ht="15.75">
      <c r="H5358" s="11" t="s">
        <v>43</v>
      </c>
    </row>
    <row r="5359" ht="15.75">
      <c r="H5359" s="11" t="s">
        <v>44</v>
      </c>
    </row>
    <row r="5360" ht="15.75">
      <c r="H5360" s="11" t="s">
        <v>45</v>
      </c>
    </row>
    <row r="5361" ht="15.75">
      <c r="H5361" s="594" t="s">
        <v>614</v>
      </c>
    </row>
    <row r="5362" ht="15.75">
      <c r="H5362" s="11" t="s">
        <v>615</v>
      </c>
    </row>
    <row r="5363" ht="15.75">
      <c r="H5363" s="11" t="s">
        <v>47</v>
      </c>
    </row>
    <row r="5364" ht="15.75">
      <c r="A5364" s="595"/>
    </row>
    <row r="5365" ht="15.75">
      <c r="A5365" s="3" t="s">
        <v>911</v>
      </c>
    </row>
    <row r="5366" spans="1:8" ht="12.75" customHeight="1">
      <c r="A5366" s="717" t="s">
        <v>0</v>
      </c>
      <c r="B5366" s="714"/>
      <c r="C5366" s="714"/>
      <c r="D5366" s="714"/>
      <c r="E5366" s="714"/>
      <c r="F5366" s="714"/>
      <c r="G5366" s="714"/>
      <c r="H5366" s="714"/>
    </row>
    <row r="5367" spans="1:8" ht="16.5" thickBot="1">
      <c r="A5367" s="597"/>
      <c r="B5367" s="597"/>
      <c r="C5367" s="598"/>
      <c r="D5367" s="598"/>
      <c r="E5367" s="598"/>
      <c r="F5367" s="598"/>
      <c r="G5367" s="598"/>
      <c r="H5367" s="598"/>
    </row>
    <row r="5368" spans="1:8" ht="12.75" customHeight="1">
      <c r="A5368" s="708" t="s">
        <v>617</v>
      </c>
      <c r="B5368" s="710" t="s">
        <v>618</v>
      </c>
      <c r="C5368" s="711" t="s">
        <v>619</v>
      </c>
      <c r="D5368" s="711"/>
      <c r="E5368" s="711"/>
      <c r="F5368" s="711"/>
      <c r="G5368" s="712" t="s">
        <v>620</v>
      </c>
      <c r="H5368" s="708" t="s">
        <v>621</v>
      </c>
    </row>
    <row r="5369" spans="1:8" ht="15.75">
      <c r="A5369" s="708"/>
      <c r="B5369" s="710"/>
      <c r="C5369" s="711"/>
      <c r="D5369" s="711"/>
      <c r="E5369" s="711"/>
      <c r="F5369" s="711"/>
      <c r="G5369" s="712"/>
      <c r="H5369" s="708"/>
    </row>
    <row r="5370" spans="1:8" ht="31.5">
      <c r="A5370" s="708"/>
      <c r="B5370" s="710"/>
      <c r="C5370" s="601" t="s">
        <v>622</v>
      </c>
      <c r="D5370" s="601" t="s">
        <v>623</v>
      </c>
      <c r="E5370" s="602" t="s">
        <v>622</v>
      </c>
      <c r="F5370" s="603" t="s">
        <v>623</v>
      </c>
      <c r="G5370" s="712"/>
      <c r="H5370" s="708"/>
    </row>
    <row r="5371" spans="1:8" ht="15.75">
      <c r="A5371" s="599">
        <v>1</v>
      </c>
      <c r="B5371" s="599">
        <v>2</v>
      </c>
      <c r="C5371" s="604">
        <v>3</v>
      </c>
      <c r="D5371" s="604">
        <v>4</v>
      </c>
      <c r="E5371" s="605"/>
      <c r="F5371" s="606"/>
      <c r="G5371" s="600">
        <v>5</v>
      </c>
      <c r="H5371" s="599">
        <v>6</v>
      </c>
    </row>
    <row r="5372" spans="1:8" ht="12.75" customHeight="1">
      <c r="A5372" s="607">
        <v>1</v>
      </c>
      <c r="B5372" s="709" t="s">
        <v>624</v>
      </c>
      <c r="C5372" s="709"/>
      <c r="D5372" s="709"/>
      <c r="E5372" s="709"/>
      <c r="F5372" s="709"/>
      <c r="G5372" s="709"/>
      <c r="H5372" s="709"/>
    </row>
    <row r="5373" spans="1:8" ht="15.75">
      <c r="A5373" s="608" t="s">
        <v>74</v>
      </c>
      <c r="B5373" s="609" t="s">
        <v>625</v>
      </c>
      <c r="C5373" s="610" t="s">
        <v>379</v>
      </c>
      <c r="D5373" s="610" t="s">
        <v>379</v>
      </c>
      <c r="E5373" s="610" t="s">
        <v>379</v>
      </c>
      <c r="F5373" s="610" t="s">
        <v>379</v>
      </c>
      <c r="G5373" s="610" t="s">
        <v>379</v>
      </c>
      <c r="H5373" s="611" t="s">
        <v>626</v>
      </c>
    </row>
    <row r="5374" spans="1:8" ht="15.75">
      <c r="A5374" s="608" t="s">
        <v>313</v>
      </c>
      <c r="B5374" s="609" t="s">
        <v>627</v>
      </c>
      <c r="C5374" s="610" t="s">
        <v>379</v>
      </c>
      <c r="D5374" s="610" t="s">
        <v>379</v>
      </c>
      <c r="E5374" s="610" t="s">
        <v>379</v>
      </c>
      <c r="F5374" s="610" t="s">
        <v>379</v>
      </c>
      <c r="G5374" s="610" t="s">
        <v>379</v>
      </c>
      <c r="H5374" s="611" t="s">
        <v>626</v>
      </c>
    </row>
    <row r="5375" spans="1:8" ht="31.5">
      <c r="A5375" s="608" t="s">
        <v>315</v>
      </c>
      <c r="B5375" s="612" t="s">
        <v>628</v>
      </c>
      <c r="C5375" s="610" t="s">
        <v>379</v>
      </c>
      <c r="D5375" s="610" t="s">
        <v>379</v>
      </c>
      <c r="E5375" s="610" t="s">
        <v>379</v>
      </c>
      <c r="F5375" s="610" t="s">
        <v>379</v>
      </c>
      <c r="G5375" s="610" t="s">
        <v>379</v>
      </c>
      <c r="H5375" s="611" t="s">
        <v>626</v>
      </c>
    </row>
    <row r="5376" spans="1:8" ht="47.25">
      <c r="A5376" s="608" t="s">
        <v>317</v>
      </c>
      <c r="B5376" s="612" t="s">
        <v>629</v>
      </c>
      <c r="C5376" s="610" t="s">
        <v>379</v>
      </c>
      <c r="D5376" s="610" t="s">
        <v>379</v>
      </c>
      <c r="E5376" s="610" t="s">
        <v>379</v>
      </c>
      <c r="F5376" s="610" t="s">
        <v>379</v>
      </c>
      <c r="G5376" s="610" t="s">
        <v>379</v>
      </c>
      <c r="H5376" s="611" t="s">
        <v>626</v>
      </c>
    </row>
    <row r="5377" spans="1:8" ht="15.75">
      <c r="A5377" s="608" t="s">
        <v>630</v>
      </c>
      <c r="B5377" s="613" t="s">
        <v>631</v>
      </c>
      <c r="C5377" s="610" t="s">
        <v>379</v>
      </c>
      <c r="D5377" s="610" t="s">
        <v>379</v>
      </c>
      <c r="E5377" s="610" t="s">
        <v>379</v>
      </c>
      <c r="F5377" s="610" t="s">
        <v>379</v>
      </c>
      <c r="G5377" s="610" t="s">
        <v>379</v>
      </c>
      <c r="H5377" s="611" t="s">
        <v>626</v>
      </c>
    </row>
    <row r="5378" spans="1:8" ht="15.75">
      <c r="A5378" s="608" t="s">
        <v>632</v>
      </c>
      <c r="B5378" s="613" t="s">
        <v>633</v>
      </c>
      <c r="C5378" s="610" t="s">
        <v>379</v>
      </c>
      <c r="D5378" s="610" t="s">
        <v>379</v>
      </c>
      <c r="E5378" s="610" t="s">
        <v>379</v>
      </c>
      <c r="F5378" s="610" t="s">
        <v>379</v>
      </c>
      <c r="G5378" s="610" t="s">
        <v>379</v>
      </c>
      <c r="H5378" s="611" t="s">
        <v>626</v>
      </c>
    </row>
    <row r="5379" spans="1:8" ht="12.75" customHeight="1">
      <c r="A5379" s="608">
        <v>2</v>
      </c>
      <c r="B5379" s="706" t="s">
        <v>634</v>
      </c>
      <c r="C5379" s="706"/>
      <c r="D5379" s="706"/>
      <c r="E5379" s="706"/>
      <c r="F5379" s="706"/>
      <c r="G5379" s="706"/>
      <c r="H5379" s="706"/>
    </row>
    <row r="5380" spans="1:8" ht="31.5">
      <c r="A5380" s="608" t="s">
        <v>321</v>
      </c>
      <c r="B5380" s="612" t="s">
        <v>635</v>
      </c>
      <c r="C5380" s="610" t="s">
        <v>721</v>
      </c>
      <c r="D5380" s="610" t="s">
        <v>852</v>
      </c>
      <c r="E5380" s="610" t="s">
        <v>379</v>
      </c>
      <c r="F5380" s="610" t="s">
        <v>379</v>
      </c>
      <c r="G5380" s="614">
        <v>0</v>
      </c>
      <c r="H5380" s="611"/>
    </row>
    <row r="5381" spans="1:8" ht="47.25">
      <c r="A5381" s="608" t="s">
        <v>325</v>
      </c>
      <c r="B5381" s="612" t="s">
        <v>638</v>
      </c>
      <c r="C5381" s="610" t="s">
        <v>379</v>
      </c>
      <c r="D5381" s="610" t="s">
        <v>379</v>
      </c>
      <c r="E5381" s="610" t="s">
        <v>379</v>
      </c>
      <c r="F5381" s="610" t="s">
        <v>379</v>
      </c>
      <c r="G5381" s="610" t="s">
        <v>379</v>
      </c>
      <c r="H5381" s="611" t="s">
        <v>626</v>
      </c>
    </row>
    <row r="5382" spans="1:8" ht="31.5">
      <c r="A5382" s="608" t="s">
        <v>639</v>
      </c>
      <c r="B5382" s="612" t="s">
        <v>640</v>
      </c>
      <c r="C5382" s="610" t="s">
        <v>379</v>
      </c>
      <c r="D5382" s="610" t="s">
        <v>379</v>
      </c>
      <c r="E5382" s="610" t="s">
        <v>379</v>
      </c>
      <c r="F5382" s="610" t="s">
        <v>379</v>
      </c>
      <c r="G5382" s="610" t="s">
        <v>379</v>
      </c>
      <c r="H5382" s="611" t="s">
        <v>626</v>
      </c>
    </row>
    <row r="5383" spans="1:8" ht="12.75" customHeight="1">
      <c r="A5383" s="608">
        <v>3</v>
      </c>
      <c r="B5383" s="706" t="s">
        <v>641</v>
      </c>
      <c r="C5383" s="706"/>
      <c r="D5383" s="706"/>
      <c r="E5383" s="706"/>
      <c r="F5383" s="706"/>
      <c r="G5383" s="706"/>
      <c r="H5383" s="706"/>
    </row>
    <row r="5384" spans="1:8" ht="31.5">
      <c r="A5384" s="608" t="s">
        <v>378</v>
      </c>
      <c r="B5384" s="613" t="s">
        <v>642</v>
      </c>
      <c r="C5384" s="610" t="s">
        <v>379</v>
      </c>
      <c r="D5384" s="610" t="s">
        <v>379</v>
      </c>
      <c r="E5384" s="610" t="s">
        <v>379</v>
      </c>
      <c r="F5384" s="610" t="s">
        <v>379</v>
      </c>
      <c r="G5384" s="610" t="s">
        <v>379</v>
      </c>
      <c r="H5384" s="611" t="s">
        <v>626</v>
      </c>
    </row>
    <row r="5385" spans="1:8" ht="15.75">
      <c r="A5385" s="608" t="s">
        <v>643</v>
      </c>
      <c r="B5385" s="613" t="s">
        <v>644</v>
      </c>
      <c r="C5385" s="610" t="s">
        <v>721</v>
      </c>
      <c r="D5385" s="610" t="s">
        <v>912</v>
      </c>
      <c r="E5385" s="610" t="s">
        <v>379</v>
      </c>
      <c r="F5385" s="610" t="s">
        <v>379</v>
      </c>
      <c r="G5385" s="614">
        <v>0</v>
      </c>
      <c r="H5385" s="611"/>
    </row>
    <row r="5386" spans="1:8" ht="15.75">
      <c r="A5386" s="608" t="s">
        <v>380</v>
      </c>
      <c r="B5386" s="613" t="s">
        <v>646</v>
      </c>
      <c r="C5386" s="610" t="s">
        <v>832</v>
      </c>
      <c r="D5386" s="610" t="s">
        <v>913</v>
      </c>
      <c r="E5386" s="610" t="s">
        <v>379</v>
      </c>
      <c r="F5386" s="610" t="s">
        <v>379</v>
      </c>
      <c r="G5386" s="614">
        <v>0</v>
      </c>
      <c r="H5386" s="611"/>
    </row>
    <row r="5387" spans="1:8" ht="15.75">
      <c r="A5387" s="608" t="s">
        <v>649</v>
      </c>
      <c r="B5387" s="613" t="s">
        <v>650</v>
      </c>
      <c r="C5387" s="610" t="s">
        <v>914</v>
      </c>
      <c r="D5387" s="610" t="s">
        <v>765</v>
      </c>
      <c r="E5387" s="610" t="s">
        <v>379</v>
      </c>
      <c r="F5387" s="610" t="s">
        <v>379</v>
      </c>
      <c r="G5387" s="614">
        <v>0</v>
      </c>
      <c r="H5387" s="611"/>
    </row>
    <row r="5388" spans="1:8" ht="15.75">
      <c r="A5388" s="608" t="s">
        <v>653</v>
      </c>
      <c r="B5388" s="613" t="s">
        <v>654</v>
      </c>
      <c r="C5388" s="610" t="s">
        <v>833</v>
      </c>
      <c r="D5388" s="610" t="s">
        <v>915</v>
      </c>
      <c r="E5388" s="610" t="s">
        <v>379</v>
      </c>
      <c r="F5388" s="610" t="s">
        <v>379</v>
      </c>
      <c r="G5388" s="614">
        <v>0</v>
      </c>
      <c r="H5388" s="611"/>
    </row>
    <row r="5389" spans="1:8" ht="12.75" customHeight="1">
      <c r="A5389" s="608">
        <v>4</v>
      </c>
      <c r="B5389" s="706" t="s">
        <v>656</v>
      </c>
      <c r="C5389" s="706"/>
      <c r="D5389" s="706"/>
      <c r="E5389" s="706"/>
      <c r="F5389" s="706"/>
      <c r="G5389" s="706"/>
      <c r="H5389" s="706"/>
    </row>
    <row r="5390" spans="1:8" ht="31.5">
      <c r="A5390" s="608" t="s">
        <v>657</v>
      </c>
      <c r="B5390" s="612" t="s">
        <v>658</v>
      </c>
      <c r="C5390" s="610" t="s">
        <v>379</v>
      </c>
      <c r="D5390" s="610" t="s">
        <v>379</v>
      </c>
      <c r="E5390" s="610" t="s">
        <v>379</v>
      </c>
      <c r="F5390" s="610" t="s">
        <v>379</v>
      </c>
      <c r="G5390" s="610" t="s">
        <v>379</v>
      </c>
      <c r="H5390" s="611" t="s">
        <v>626</v>
      </c>
    </row>
    <row r="5391" spans="1:8" ht="47.25">
      <c r="A5391" s="608" t="s">
        <v>659</v>
      </c>
      <c r="B5391" s="612" t="s">
        <v>660</v>
      </c>
      <c r="C5391" s="610" t="s">
        <v>379</v>
      </c>
      <c r="D5391" s="610" t="s">
        <v>379</v>
      </c>
      <c r="E5391" s="610" t="s">
        <v>379</v>
      </c>
      <c r="F5391" s="610" t="s">
        <v>379</v>
      </c>
      <c r="G5391" s="610" t="s">
        <v>379</v>
      </c>
      <c r="H5391" s="611" t="s">
        <v>626</v>
      </c>
    </row>
    <row r="5392" spans="1:8" ht="31.5">
      <c r="A5392" s="608" t="s">
        <v>661</v>
      </c>
      <c r="B5392" s="613" t="s">
        <v>662</v>
      </c>
      <c r="C5392" s="610" t="s">
        <v>833</v>
      </c>
      <c r="D5392" s="610" t="s">
        <v>916</v>
      </c>
      <c r="E5392" s="610" t="s">
        <v>379</v>
      </c>
      <c r="F5392" s="610" t="s">
        <v>379</v>
      </c>
      <c r="G5392" s="614">
        <v>0</v>
      </c>
      <c r="H5392" s="611"/>
    </row>
    <row r="5393" spans="1:8" ht="31.5">
      <c r="A5393" s="615" t="s">
        <v>663</v>
      </c>
      <c r="B5393" s="616" t="s">
        <v>664</v>
      </c>
      <c r="C5393" s="617" t="s">
        <v>917</v>
      </c>
      <c r="D5393" s="617" t="s">
        <v>764</v>
      </c>
      <c r="E5393" s="617" t="s">
        <v>379</v>
      </c>
      <c r="F5393" s="617" t="s">
        <v>379</v>
      </c>
      <c r="G5393" s="623">
        <v>0</v>
      </c>
      <c r="H5393" s="618"/>
    </row>
    <row r="5394" spans="1:8" ht="15.75">
      <c r="A5394" s="619"/>
      <c r="B5394" s="620"/>
      <c r="C5394" s="621"/>
      <c r="D5394" s="621"/>
      <c r="E5394" s="621"/>
      <c r="F5394" s="621"/>
      <c r="G5394" s="621"/>
      <c r="H5394" s="148"/>
    </row>
    <row r="5395" spans="1:8" ht="12.75" customHeight="1">
      <c r="A5395" s="707" t="s">
        <v>665</v>
      </c>
      <c r="B5395" s="707"/>
      <c r="C5395" s="707"/>
      <c r="D5395" s="707"/>
      <c r="E5395" s="707"/>
      <c r="F5395" s="707"/>
      <c r="G5395" s="707"/>
      <c r="H5395" s="707"/>
    </row>
    <row r="5400" ht="15.75">
      <c r="H5400" s="11" t="s">
        <v>609</v>
      </c>
    </row>
    <row r="5401" ht="15.75">
      <c r="H5401" s="11" t="s">
        <v>610</v>
      </c>
    </row>
    <row r="5402" ht="15.75">
      <c r="H5402" s="11" t="s">
        <v>611</v>
      </c>
    </row>
    <row r="5403" ht="15.75">
      <c r="H5403" s="11"/>
    </row>
    <row r="5404" spans="1:8" ht="12.75" customHeight="1">
      <c r="A5404" s="713" t="s">
        <v>612</v>
      </c>
      <c r="B5404" s="713"/>
      <c r="C5404" s="713"/>
      <c r="D5404" s="713"/>
      <c r="E5404" s="713"/>
      <c r="F5404" s="713"/>
      <c r="G5404" s="713"/>
      <c r="H5404" s="713"/>
    </row>
    <row r="5405" spans="1:8" ht="12.75" customHeight="1">
      <c r="A5405" s="713" t="s">
        <v>613</v>
      </c>
      <c r="B5405" s="713"/>
      <c r="C5405" s="713"/>
      <c r="D5405" s="713"/>
      <c r="E5405" s="713"/>
      <c r="F5405" s="713"/>
      <c r="G5405" s="713"/>
      <c r="H5405" s="713"/>
    </row>
    <row r="5406" ht="15.75">
      <c r="H5406" s="11" t="s">
        <v>43</v>
      </c>
    </row>
    <row r="5407" ht="15.75">
      <c r="H5407" s="11" t="s">
        <v>44</v>
      </c>
    </row>
    <row r="5408" ht="15.75">
      <c r="H5408" s="11" t="s">
        <v>45</v>
      </c>
    </row>
    <row r="5409" ht="15.75">
      <c r="H5409" s="594" t="s">
        <v>614</v>
      </c>
    </row>
    <row r="5410" ht="15.75">
      <c r="H5410" s="11" t="s">
        <v>615</v>
      </c>
    </row>
    <row r="5411" ht="15.75">
      <c r="H5411" s="11" t="s">
        <v>47</v>
      </c>
    </row>
    <row r="5412" ht="15.75">
      <c r="A5412" s="595"/>
    </row>
    <row r="5413" ht="15.75">
      <c r="A5413" s="3" t="s">
        <v>918</v>
      </c>
    </row>
    <row r="5414" spans="1:8" ht="12.75" customHeight="1">
      <c r="A5414" s="717" t="s">
        <v>0</v>
      </c>
      <c r="B5414" s="714"/>
      <c r="C5414" s="714"/>
      <c r="D5414" s="714"/>
      <c r="E5414" s="714"/>
      <c r="F5414" s="714"/>
      <c r="G5414" s="714"/>
      <c r="H5414" s="714"/>
    </row>
    <row r="5415" spans="1:8" ht="16.5" thickBot="1">
      <c r="A5415" s="597"/>
      <c r="B5415" s="597"/>
      <c r="C5415" s="598"/>
      <c r="D5415" s="598"/>
      <c r="E5415" s="598"/>
      <c r="F5415" s="598"/>
      <c r="G5415" s="598"/>
      <c r="H5415" s="598"/>
    </row>
    <row r="5416" spans="1:8" ht="12.75" customHeight="1">
      <c r="A5416" s="708" t="s">
        <v>617</v>
      </c>
      <c r="B5416" s="710" t="s">
        <v>618</v>
      </c>
      <c r="C5416" s="711" t="s">
        <v>619</v>
      </c>
      <c r="D5416" s="711"/>
      <c r="E5416" s="711"/>
      <c r="F5416" s="711"/>
      <c r="G5416" s="712" t="s">
        <v>620</v>
      </c>
      <c r="H5416" s="708" t="s">
        <v>621</v>
      </c>
    </row>
    <row r="5417" spans="1:8" ht="15.75">
      <c r="A5417" s="708"/>
      <c r="B5417" s="710"/>
      <c r="C5417" s="711"/>
      <c r="D5417" s="711"/>
      <c r="E5417" s="711"/>
      <c r="F5417" s="711"/>
      <c r="G5417" s="712"/>
      <c r="H5417" s="708"/>
    </row>
    <row r="5418" spans="1:8" ht="31.5">
      <c r="A5418" s="708"/>
      <c r="B5418" s="710"/>
      <c r="C5418" s="601" t="s">
        <v>622</v>
      </c>
      <c r="D5418" s="601" t="s">
        <v>623</v>
      </c>
      <c r="E5418" s="602" t="s">
        <v>622</v>
      </c>
      <c r="F5418" s="603" t="s">
        <v>623</v>
      </c>
      <c r="G5418" s="712"/>
      <c r="H5418" s="708"/>
    </row>
    <row r="5419" spans="1:8" ht="15.75">
      <c r="A5419" s="599">
        <v>1</v>
      </c>
      <c r="B5419" s="599">
        <v>2</v>
      </c>
      <c r="C5419" s="604">
        <v>3</v>
      </c>
      <c r="D5419" s="604">
        <v>4</v>
      </c>
      <c r="E5419" s="605"/>
      <c r="F5419" s="606"/>
      <c r="G5419" s="600">
        <v>5</v>
      </c>
      <c r="H5419" s="599">
        <v>6</v>
      </c>
    </row>
    <row r="5420" spans="1:8" ht="12.75" customHeight="1">
      <c r="A5420" s="607">
        <v>1</v>
      </c>
      <c r="B5420" s="709" t="s">
        <v>624</v>
      </c>
      <c r="C5420" s="709"/>
      <c r="D5420" s="709"/>
      <c r="E5420" s="709"/>
      <c r="F5420" s="709"/>
      <c r="G5420" s="709"/>
      <c r="H5420" s="709"/>
    </row>
    <row r="5421" spans="1:8" ht="15.75">
      <c r="A5421" s="608" t="s">
        <v>74</v>
      </c>
      <c r="B5421" s="609" t="s">
        <v>625</v>
      </c>
      <c r="C5421" s="610" t="s">
        <v>379</v>
      </c>
      <c r="D5421" s="610" t="s">
        <v>379</v>
      </c>
      <c r="E5421" s="610" t="s">
        <v>379</v>
      </c>
      <c r="F5421" s="610" t="s">
        <v>379</v>
      </c>
      <c r="G5421" s="610" t="s">
        <v>379</v>
      </c>
      <c r="H5421" s="611" t="s">
        <v>626</v>
      </c>
    </row>
    <row r="5422" spans="1:8" ht="15.75">
      <c r="A5422" s="608" t="s">
        <v>313</v>
      </c>
      <c r="B5422" s="609" t="s">
        <v>627</v>
      </c>
      <c r="C5422" s="610" t="s">
        <v>379</v>
      </c>
      <c r="D5422" s="610" t="s">
        <v>379</v>
      </c>
      <c r="E5422" s="610" t="s">
        <v>379</v>
      </c>
      <c r="F5422" s="610" t="s">
        <v>379</v>
      </c>
      <c r="G5422" s="610" t="s">
        <v>379</v>
      </c>
      <c r="H5422" s="611" t="s">
        <v>626</v>
      </c>
    </row>
    <row r="5423" spans="1:8" ht="31.5">
      <c r="A5423" s="608" t="s">
        <v>315</v>
      </c>
      <c r="B5423" s="612" t="s">
        <v>628</v>
      </c>
      <c r="C5423" s="610" t="s">
        <v>379</v>
      </c>
      <c r="D5423" s="610" t="s">
        <v>379</v>
      </c>
      <c r="E5423" s="610" t="s">
        <v>379</v>
      </c>
      <c r="F5423" s="610" t="s">
        <v>379</v>
      </c>
      <c r="G5423" s="610" t="s">
        <v>379</v>
      </c>
      <c r="H5423" s="611" t="s">
        <v>626</v>
      </c>
    </row>
    <row r="5424" spans="1:8" ht="47.25">
      <c r="A5424" s="608" t="s">
        <v>317</v>
      </c>
      <c r="B5424" s="612" t="s">
        <v>629</v>
      </c>
      <c r="C5424" s="610" t="s">
        <v>379</v>
      </c>
      <c r="D5424" s="610" t="s">
        <v>379</v>
      </c>
      <c r="E5424" s="610" t="s">
        <v>379</v>
      </c>
      <c r="F5424" s="610" t="s">
        <v>379</v>
      </c>
      <c r="G5424" s="610" t="s">
        <v>379</v>
      </c>
      <c r="H5424" s="611" t="s">
        <v>626</v>
      </c>
    </row>
    <row r="5425" spans="1:8" ht="15.75">
      <c r="A5425" s="608" t="s">
        <v>630</v>
      </c>
      <c r="B5425" s="613" t="s">
        <v>631</v>
      </c>
      <c r="C5425" s="610" t="s">
        <v>379</v>
      </c>
      <c r="D5425" s="610" t="s">
        <v>379</v>
      </c>
      <c r="E5425" s="610" t="s">
        <v>379</v>
      </c>
      <c r="F5425" s="610" t="s">
        <v>379</v>
      </c>
      <c r="G5425" s="610" t="s">
        <v>379</v>
      </c>
      <c r="H5425" s="611" t="s">
        <v>626</v>
      </c>
    </row>
    <row r="5426" spans="1:8" ht="15.75">
      <c r="A5426" s="608" t="s">
        <v>632</v>
      </c>
      <c r="B5426" s="613" t="s">
        <v>633</v>
      </c>
      <c r="C5426" s="610" t="s">
        <v>379</v>
      </c>
      <c r="D5426" s="610" t="s">
        <v>379</v>
      </c>
      <c r="E5426" s="610" t="s">
        <v>379</v>
      </c>
      <c r="F5426" s="610" t="s">
        <v>379</v>
      </c>
      <c r="G5426" s="610" t="s">
        <v>379</v>
      </c>
      <c r="H5426" s="611" t="s">
        <v>626</v>
      </c>
    </row>
    <row r="5427" spans="1:8" ht="12.75" customHeight="1">
      <c r="A5427" s="608">
        <v>2</v>
      </c>
      <c r="B5427" s="706" t="s">
        <v>634</v>
      </c>
      <c r="C5427" s="706"/>
      <c r="D5427" s="706"/>
      <c r="E5427" s="706"/>
      <c r="F5427" s="706"/>
      <c r="G5427" s="706"/>
      <c r="H5427" s="706"/>
    </row>
    <row r="5428" spans="1:8" ht="31.5">
      <c r="A5428" s="608" t="s">
        <v>321</v>
      </c>
      <c r="B5428" s="612" t="s">
        <v>635</v>
      </c>
      <c r="C5428" s="610" t="s">
        <v>721</v>
      </c>
      <c r="D5428" s="610" t="s">
        <v>852</v>
      </c>
      <c r="E5428" s="610" t="s">
        <v>379</v>
      </c>
      <c r="F5428" s="610" t="s">
        <v>379</v>
      </c>
      <c r="G5428" s="614">
        <v>0</v>
      </c>
      <c r="H5428" s="611"/>
    </row>
    <row r="5429" spans="1:8" ht="47.25">
      <c r="A5429" s="608" t="s">
        <v>325</v>
      </c>
      <c r="B5429" s="612" t="s">
        <v>638</v>
      </c>
      <c r="C5429" s="610" t="s">
        <v>379</v>
      </c>
      <c r="D5429" s="610" t="s">
        <v>379</v>
      </c>
      <c r="E5429" s="610" t="s">
        <v>379</v>
      </c>
      <c r="F5429" s="610" t="s">
        <v>379</v>
      </c>
      <c r="G5429" s="610" t="s">
        <v>379</v>
      </c>
      <c r="H5429" s="611" t="s">
        <v>626</v>
      </c>
    </row>
    <row r="5430" spans="1:8" ht="31.5">
      <c r="A5430" s="608" t="s">
        <v>639</v>
      </c>
      <c r="B5430" s="612" t="s">
        <v>640</v>
      </c>
      <c r="C5430" s="610" t="s">
        <v>379</v>
      </c>
      <c r="D5430" s="610" t="s">
        <v>379</v>
      </c>
      <c r="E5430" s="610" t="s">
        <v>379</v>
      </c>
      <c r="F5430" s="610" t="s">
        <v>379</v>
      </c>
      <c r="G5430" s="610" t="s">
        <v>379</v>
      </c>
      <c r="H5430" s="611" t="s">
        <v>626</v>
      </c>
    </row>
    <row r="5431" spans="1:8" ht="12.75" customHeight="1">
      <c r="A5431" s="608">
        <v>3</v>
      </c>
      <c r="B5431" s="706" t="s">
        <v>641</v>
      </c>
      <c r="C5431" s="706"/>
      <c r="D5431" s="706"/>
      <c r="E5431" s="706"/>
      <c r="F5431" s="706"/>
      <c r="G5431" s="706"/>
      <c r="H5431" s="706"/>
    </row>
    <row r="5432" spans="1:8" ht="31.5">
      <c r="A5432" s="608" t="s">
        <v>378</v>
      </c>
      <c r="B5432" s="613" t="s">
        <v>642</v>
      </c>
      <c r="C5432" s="610" t="s">
        <v>379</v>
      </c>
      <c r="D5432" s="610" t="s">
        <v>379</v>
      </c>
      <c r="E5432" s="610" t="s">
        <v>379</v>
      </c>
      <c r="F5432" s="610" t="s">
        <v>379</v>
      </c>
      <c r="G5432" s="610" t="s">
        <v>379</v>
      </c>
      <c r="H5432" s="611" t="s">
        <v>626</v>
      </c>
    </row>
    <row r="5433" spans="1:8" ht="15.75">
      <c r="A5433" s="608" t="s">
        <v>643</v>
      </c>
      <c r="B5433" s="613" t="s">
        <v>644</v>
      </c>
      <c r="C5433" s="610" t="s">
        <v>721</v>
      </c>
      <c r="D5433" s="610" t="s">
        <v>912</v>
      </c>
      <c r="E5433" s="610" t="s">
        <v>379</v>
      </c>
      <c r="F5433" s="610" t="s">
        <v>379</v>
      </c>
      <c r="G5433" s="614">
        <v>0</v>
      </c>
      <c r="H5433" s="611"/>
    </row>
    <row r="5434" spans="1:8" ht="15.75">
      <c r="A5434" s="608" t="s">
        <v>380</v>
      </c>
      <c r="B5434" s="613" t="s">
        <v>646</v>
      </c>
      <c r="C5434" s="610" t="s">
        <v>832</v>
      </c>
      <c r="D5434" s="610" t="s">
        <v>913</v>
      </c>
      <c r="E5434" s="610" t="s">
        <v>379</v>
      </c>
      <c r="F5434" s="610" t="s">
        <v>379</v>
      </c>
      <c r="G5434" s="614">
        <v>0</v>
      </c>
      <c r="H5434" s="611"/>
    </row>
    <row r="5435" spans="1:8" ht="15.75">
      <c r="A5435" s="608" t="s">
        <v>649</v>
      </c>
      <c r="B5435" s="613" t="s">
        <v>650</v>
      </c>
      <c r="C5435" s="610" t="s">
        <v>914</v>
      </c>
      <c r="D5435" s="610" t="s">
        <v>765</v>
      </c>
      <c r="E5435" s="610" t="s">
        <v>379</v>
      </c>
      <c r="F5435" s="610" t="s">
        <v>379</v>
      </c>
      <c r="G5435" s="614">
        <v>0</v>
      </c>
      <c r="H5435" s="611"/>
    </row>
    <row r="5436" spans="1:8" ht="15.75">
      <c r="A5436" s="608" t="s">
        <v>653</v>
      </c>
      <c r="B5436" s="613" t="s">
        <v>654</v>
      </c>
      <c r="C5436" s="610" t="s">
        <v>833</v>
      </c>
      <c r="D5436" s="610" t="s">
        <v>915</v>
      </c>
      <c r="E5436" s="610" t="s">
        <v>379</v>
      </c>
      <c r="F5436" s="610" t="s">
        <v>379</v>
      </c>
      <c r="G5436" s="614">
        <v>0</v>
      </c>
      <c r="H5436" s="611"/>
    </row>
    <row r="5437" spans="1:8" ht="12.75" customHeight="1">
      <c r="A5437" s="608">
        <v>4</v>
      </c>
      <c r="B5437" s="706" t="s">
        <v>656</v>
      </c>
      <c r="C5437" s="706"/>
      <c r="D5437" s="706"/>
      <c r="E5437" s="706"/>
      <c r="F5437" s="706"/>
      <c r="G5437" s="706"/>
      <c r="H5437" s="706"/>
    </row>
    <row r="5438" spans="1:8" ht="31.5">
      <c r="A5438" s="608" t="s">
        <v>657</v>
      </c>
      <c r="B5438" s="612" t="s">
        <v>658</v>
      </c>
      <c r="C5438" s="610" t="s">
        <v>379</v>
      </c>
      <c r="D5438" s="610" t="s">
        <v>379</v>
      </c>
      <c r="E5438" s="610" t="s">
        <v>379</v>
      </c>
      <c r="F5438" s="610" t="s">
        <v>379</v>
      </c>
      <c r="G5438" s="610" t="s">
        <v>379</v>
      </c>
      <c r="H5438" s="611" t="s">
        <v>626</v>
      </c>
    </row>
    <row r="5439" spans="1:8" ht="47.25">
      <c r="A5439" s="608" t="s">
        <v>659</v>
      </c>
      <c r="B5439" s="612" t="s">
        <v>660</v>
      </c>
      <c r="C5439" s="610" t="s">
        <v>379</v>
      </c>
      <c r="D5439" s="610" t="s">
        <v>379</v>
      </c>
      <c r="E5439" s="610" t="s">
        <v>379</v>
      </c>
      <c r="F5439" s="610" t="s">
        <v>379</v>
      </c>
      <c r="G5439" s="610" t="s">
        <v>379</v>
      </c>
      <c r="H5439" s="611" t="s">
        <v>626</v>
      </c>
    </row>
    <row r="5440" spans="1:8" ht="31.5">
      <c r="A5440" s="608" t="s">
        <v>661</v>
      </c>
      <c r="B5440" s="613" t="s">
        <v>662</v>
      </c>
      <c r="C5440" s="610" t="s">
        <v>833</v>
      </c>
      <c r="D5440" s="610" t="s">
        <v>916</v>
      </c>
      <c r="E5440" s="610" t="s">
        <v>379</v>
      </c>
      <c r="F5440" s="610" t="s">
        <v>379</v>
      </c>
      <c r="G5440" s="614">
        <v>0</v>
      </c>
      <c r="H5440" s="611"/>
    </row>
    <row r="5441" spans="1:8" ht="31.5">
      <c r="A5441" s="615" t="s">
        <v>663</v>
      </c>
      <c r="B5441" s="616" t="s">
        <v>664</v>
      </c>
      <c r="C5441" s="617" t="s">
        <v>917</v>
      </c>
      <c r="D5441" s="617" t="s">
        <v>764</v>
      </c>
      <c r="E5441" s="617" t="s">
        <v>379</v>
      </c>
      <c r="F5441" s="617" t="s">
        <v>379</v>
      </c>
      <c r="G5441" s="623">
        <v>0</v>
      </c>
      <c r="H5441" s="618"/>
    </row>
    <row r="5442" spans="1:8" ht="15.75">
      <c r="A5442" s="619"/>
      <c r="B5442" s="620"/>
      <c r="C5442" s="621"/>
      <c r="D5442" s="621"/>
      <c r="E5442" s="621"/>
      <c r="F5442" s="621"/>
      <c r="G5442" s="621"/>
      <c r="H5442" s="148"/>
    </row>
    <row r="5443" spans="1:8" ht="12.75" customHeight="1">
      <c r="A5443" s="707" t="s">
        <v>665</v>
      </c>
      <c r="B5443" s="707"/>
      <c r="C5443" s="707"/>
      <c r="D5443" s="707"/>
      <c r="E5443" s="707"/>
      <c r="F5443" s="707"/>
      <c r="G5443" s="707"/>
      <c r="H5443" s="707"/>
    </row>
    <row r="5449" ht="15.75">
      <c r="H5449" s="11" t="s">
        <v>609</v>
      </c>
    </row>
    <row r="5450" ht="15.75">
      <c r="H5450" s="11" t="s">
        <v>610</v>
      </c>
    </row>
    <row r="5451" ht="15.75">
      <c r="H5451" s="11" t="s">
        <v>611</v>
      </c>
    </row>
    <row r="5452" ht="15.75">
      <c r="H5452" s="11"/>
    </row>
    <row r="5453" spans="1:8" ht="12.75" customHeight="1">
      <c r="A5453" s="713" t="s">
        <v>612</v>
      </c>
      <c r="B5453" s="713"/>
      <c r="C5453" s="713"/>
      <c r="D5453" s="713"/>
      <c r="E5453" s="713"/>
      <c r="F5453" s="713"/>
      <c r="G5453" s="713"/>
      <c r="H5453" s="713"/>
    </row>
    <row r="5454" spans="1:8" ht="12.75" customHeight="1">
      <c r="A5454" s="713" t="s">
        <v>613</v>
      </c>
      <c r="B5454" s="713"/>
      <c r="C5454" s="713"/>
      <c r="D5454" s="713"/>
      <c r="E5454" s="713"/>
      <c r="F5454" s="713"/>
      <c r="G5454" s="713"/>
      <c r="H5454" s="713"/>
    </row>
    <row r="5455" ht="15.75">
      <c r="H5455" s="11" t="s">
        <v>43</v>
      </c>
    </row>
    <row r="5456" ht="15.75">
      <c r="H5456" s="11" t="s">
        <v>44</v>
      </c>
    </row>
    <row r="5457" ht="15.75">
      <c r="H5457" s="11" t="s">
        <v>45</v>
      </c>
    </row>
    <row r="5458" ht="15.75">
      <c r="H5458" s="594" t="s">
        <v>614</v>
      </c>
    </row>
    <row r="5459" ht="15.75">
      <c r="H5459" s="11" t="s">
        <v>615</v>
      </c>
    </row>
    <row r="5460" ht="15.75">
      <c r="H5460" s="11" t="s">
        <v>47</v>
      </c>
    </row>
    <row r="5461" ht="15.75">
      <c r="A5461" s="595"/>
    </row>
    <row r="5462" ht="15.75">
      <c r="A5462" s="3" t="s">
        <v>919</v>
      </c>
    </row>
    <row r="5463" spans="1:8" ht="12.75" customHeight="1">
      <c r="A5463" s="717" t="s">
        <v>0</v>
      </c>
      <c r="B5463" s="714"/>
      <c r="C5463" s="714"/>
      <c r="D5463" s="714"/>
      <c r="E5463" s="714"/>
      <c r="F5463" s="714"/>
      <c r="G5463" s="714"/>
      <c r="H5463" s="714"/>
    </row>
    <row r="5464" spans="1:8" ht="16.5" thickBot="1">
      <c r="A5464" s="597"/>
      <c r="B5464" s="597"/>
      <c r="C5464" s="598"/>
      <c r="D5464" s="598"/>
      <c r="E5464" s="598"/>
      <c r="F5464" s="598"/>
      <c r="G5464" s="598"/>
      <c r="H5464" s="598"/>
    </row>
    <row r="5465" spans="1:8" ht="12.75" customHeight="1">
      <c r="A5465" s="708" t="s">
        <v>617</v>
      </c>
      <c r="B5465" s="710" t="s">
        <v>618</v>
      </c>
      <c r="C5465" s="711" t="s">
        <v>619</v>
      </c>
      <c r="D5465" s="711"/>
      <c r="E5465" s="711"/>
      <c r="F5465" s="711"/>
      <c r="G5465" s="712" t="s">
        <v>620</v>
      </c>
      <c r="H5465" s="708" t="s">
        <v>621</v>
      </c>
    </row>
    <row r="5466" spans="1:8" ht="15.75">
      <c r="A5466" s="708"/>
      <c r="B5466" s="710"/>
      <c r="C5466" s="711"/>
      <c r="D5466" s="711"/>
      <c r="E5466" s="711"/>
      <c r="F5466" s="711"/>
      <c r="G5466" s="712"/>
      <c r="H5466" s="708"/>
    </row>
    <row r="5467" spans="1:8" ht="31.5">
      <c r="A5467" s="708"/>
      <c r="B5467" s="710"/>
      <c r="C5467" s="601" t="s">
        <v>622</v>
      </c>
      <c r="D5467" s="601" t="s">
        <v>623</v>
      </c>
      <c r="E5467" s="602" t="s">
        <v>622</v>
      </c>
      <c r="F5467" s="603" t="s">
        <v>623</v>
      </c>
      <c r="G5467" s="712"/>
      <c r="H5467" s="708"/>
    </row>
    <row r="5468" spans="1:8" ht="15.75">
      <c r="A5468" s="599">
        <v>1</v>
      </c>
      <c r="B5468" s="599">
        <v>2</v>
      </c>
      <c r="C5468" s="604">
        <v>3</v>
      </c>
      <c r="D5468" s="604">
        <v>4</v>
      </c>
      <c r="E5468" s="605"/>
      <c r="F5468" s="606"/>
      <c r="G5468" s="600">
        <v>5</v>
      </c>
      <c r="H5468" s="599">
        <v>6</v>
      </c>
    </row>
    <row r="5469" spans="1:8" ht="12.75" customHeight="1">
      <c r="A5469" s="607">
        <v>1</v>
      </c>
      <c r="B5469" s="709" t="s">
        <v>624</v>
      </c>
      <c r="C5469" s="709"/>
      <c r="D5469" s="709"/>
      <c r="E5469" s="709"/>
      <c r="F5469" s="709"/>
      <c r="G5469" s="709"/>
      <c r="H5469" s="709"/>
    </row>
    <row r="5470" spans="1:8" ht="15.75">
      <c r="A5470" s="608" t="s">
        <v>74</v>
      </c>
      <c r="B5470" s="609" t="s">
        <v>625</v>
      </c>
      <c r="C5470" s="610" t="s">
        <v>379</v>
      </c>
      <c r="D5470" s="610" t="s">
        <v>379</v>
      </c>
      <c r="E5470" s="610" t="s">
        <v>379</v>
      </c>
      <c r="F5470" s="610" t="s">
        <v>379</v>
      </c>
      <c r="G5470" s="610" t="s">
        <v>379</v>
      </c>
      <c r="H5470" s="611" t="s">
        <v>626</v>
      </c>
    </row>
    <row r="5471" spans="1:8" ht="15.75">
      <c r="A5471" s="608" t="s">
        <v>313</v>
      </c>
      <c r="B5471" s="609" t="s">
        <v>627</v>
      </c>
      <c r="C5471" s="610" t="s">
        <v>379</v>
      </c>
      <c r="D5471" s="610" t="s">
        <v>379</v>
      </c>
      <c r="E5471" s="610" t="s">
        <v>379</v>
      </c>
      <c r="F5471" s="610" t="s">
        <v>379</v>
      </c>
      <c r="G5471" s="610" t="s">
        <v>379</v>
      </c>
      <c r="H5471" s="611" t="s">
        <v>626</v>
      </c>
    </row>
    <row r="5472" spans="1:8" ht="31.5">
      <c r="A5472" s="608" t="s">
        <v>315</v>
      </c>
      <c r="B5472" s="612" t="s">
        <v>628</v>
      </c>
      <c r="C5472" s="610" t="s">
        <v>379</v>
      </c>
      <c r="D5472" s="610" t="s">
        <v>379</v>
      </c>
      <c r="E5472" s="610" t="s">
        <v>379</v>
      </c>
      <c r="F5472" s="610" t="s">
        <v>379</v>
      </c>
      <c r="G5472" s="610" t="s">
        <v>379</v>
      </c>
      <c r="H5472" s="611" t="s">
        <v>626</v>
      </c>
    </row>
    <row r="5473" spans="1:8" ht="47.25">
      <c r="A5473" s="608" t="s">
        <v>317</v>
      </c>
      <c r="B5473" s="612" t="s">
        <v>629</v>
      </c>
      <c r="C5473" s="610" t="s">
        <v>379</v>
      </c>
      <c r="D5473" s="610" t="s">
        <v>379</v>
      </c>
      <c r="E5473" s="610" t="s">
        <v>379</v>
      </c>
      <c r="F5473" s="610" t="s">
        <v>379</v>
      </c>
      <c r="G5473" s="610" t="s">
        <v>379</v>
      </c>
      <c r="H5473" s="611" t="s">
        <v>626</v>
      </c>
    </row>
    <row r="5474" spans="1:8" ht="15.75">
      <c r="A5474" s="608" t="s">
        <v>630</v>
      </c>
      <c r="B5474" s="613" t="s">
        <v>631</v>
      </c>
      <c r="C5474" s="610" t="s">
        <v>379</v>
      </c>
      <c r="D5474" s="610" t="s">
        <v>379</v>
      </c>
      <c r="E5474" s="610" t="s">
        <v>379</v>
      </c>
      <c r="F5474" s="610" t="s">
        <v>379</v>
      </c>
      <c r="G5474" s="610" t="s">
        <v>379</v>
      </c>
      <c r="H5474" s="611" t="s">
        <v>626</v>
      </c>
    </row>
    <row r="5475" spans="1:8" ht="15.75">
      <c r="A5475" s="608" t="s">
        <v>632</v>
      </c>
      <c r="B5475" s="613" t="s">
        <v>633</v>
      </c>
      <c r="C5475" s="610" t="s">
        <v>379</v>
      </c>
      <c r="D5475" s="610" t="s">
        <v>379</v>
      </c>
      <c r="E5475" s="610" t="s">
        <v>379</v>
      </c>
      <c r="F5475" s="610" t="s">
        <v>379</v>
      </c>
      <c r="G5475" s="610" t="s">
        <v>379</v>
      </c>
      <c r="H5475" s="611" t="s">
        <v>626</v>
      </c>
    </row>
    <row r="5476" spans="1:8" ht="12.75" customHeight="1">
      <c r="A5476" s="608">
        <v>2</v>
      </c>
      <c r="B5476" s="706" t="s">
        <v>634</v>
      </c>
      <c r="C5476" s="706"/>
      <c r="D5476" s="706"/>
      <c r="E5476" s="706"/>
      <c r="F5476" s="706"/>
      <c r="G5476" s="706"/>
      <c r="H5476" s="706"/>
    </row>
    <row r="5477" spans="1:8" ht="31.5">
      <c r="A5477" s="608" t="s">
        <v>321</v>
      </c>
      <c r="B5477" s="612" t="s">
        <v>635</v>
      </c>
      <c r="C5477" s="610" t="s">
        <v>721</v>
      </c>
      <c r="D5477" s="610" t="s">
        <v>852</v>
      </c>
      <c r="E5477" s="610" t="s">
        <v>379</v>
      </c>
      <c r="F5477" s="610" t="s">
        <v>379</v>
      </c>
      <c r="G5477" s="614">
        <v>0</v>
      </c>
      <c r="H5477" s="611"/>
    </row>
    <row r="5478" spans="1:8" ht="47.25">
      <c r="A5478" s="608" t="s">
        <v>325</v>
      </c>
      <c r="B5478" s="612" t="s">
        <v>638</v>
      </c>
      <c r="C5478" s="610" t="s">
        <v>379</v>
      </c>
      <c r="D5478" s="610" t="s">
        <v>379</v>
      </c>
      <c r="E5478" s="610" t="s">
        <v>379</v>
      </c>
      <c r="F5478" s="610" t="s">
        <v>379</v>
      </c>
      <c r="G5478" s="610" t="s">
        <v>379</v>
      </c>
      <c r="H5478" s="611" t="s">
        <v>626</v>
      </c>
    </row>
    <row r="5479" spans="1:8" ht="31.5">
      <c r="A5479" s="608" t="s">
        <v>639</v>
      </c>
      <c r="B5479" s="612" t="s">
        <v>640</v>
      </c>
      <c r="C5479" s="610" t="s">
        <v>379</v>
      </c>
      <c r="D5479" s="610" t="s">
        <v>379</v>
      </c>
      <c r="E5479" s="610" t="s">
        <v>379</v>
      </c>
      <c r="F5479" s="610" t="s">
        <v>379</v>
      </c>
      <c r="G5479" s="610" t="s">
        <v>379</v>
      </c>
      <c r="H5479" s="611" t="s">
        <v>626</v>
      </c>
    </row>
    <row r="5480" spans="1:8" ht="12.75" customHeight="1">
      <c r="A5480" s="608">
        <v>3</v>
      </c>
      <c r="B5480" s="706" t="s">
        <v>641</v>
      </c>
      <c r="C5480" s="706"/>
      <c r="D5480" s="706"/>
      <c r="E5480" s="706"/>
      <c r="F5480" s="706"/>
      <c r="G5480" s="706"/>
      <c r="H5480" s="706"/>
    </row>
    <row r="5481" spans="1:8" ht="31.5">
      <c r="A5481" s="608" t="s">
        <v>378</v>
      </c>
      <c r="B5481" s="613" t="s">
        <v>642</v>
      </c>
      <c r="C5481" s="610" t="s">
        <v>379</v>
      </c>
      <c r="D5481" s="610" t="s">
        <v>379</v>
      </c>
      <c r="E5481" s="610" t="s">
        <v>379</v>
      </c>
      <c r="F5481" s="610" t="s">
        <v>379</v>
      </c>
      <c r="G5481" s="610" t="s">
        <v>379</v>
      </c>
      <c r="H5481" s="611" t="s">
        <v>626</v>
      </c>
    </row>
    <row r="5482" spans="1:8" ht="15.75">
      <c r="A5482" s="608" t="s">
        <v>643</v>
      </c>
      <c r="B5482" s="613" t="s">
        <v>644</v>
      </c>
      <c r="C5482" s="610" t="s">
        <v>721</v>
      </c>
      <c r="D5482" s="610" t="s">
        <v>912</v>
      </c>
      <c r="E5482" s="610" t="s">
        <v>379</v>
      </c>
      <c r="F5482" s="610" t="s">
        <v>379</v>
      </c>
      <c r="G5482" s="614">
        <v>0</v>
      </c>
      <c r="H5482" s="611"/>
    </row>
    <row r="5483" spans="1:8" ht="15.75">
      <c r="A5483" s="608" t="s">
        <v>380</v>
      </c>
      <c r="B5483" s="613" t="s">
        <v>646</v>
      </c>
      <c r="C5483" s="610" t="s">
        <v>832</v>
      </c>
      <c r="D5483" s="610" t="s">
        <v>913</v>
      </c>
      <c r="E5483" s="610" t="s">
        <v>379</v>
      </c>
      <c r="F5483" s="610" t="s">
        <v>379</v>
      </c>
      <c r="G5483" s="614">
        <v>0</v>
      </c>
      <c r="H5483" s="611"/>
    </row>
    <row r="5484" spans="1:8" ht="15.75">
      <c r="A5484" s="608" t="s">
        <v>649</v>
      </c>
      <c r="B5484" s="613" t="s">
        <v>650</v>
      </c>
      <c r="C5484" s="610" t="s">
        <v>914</v>
      </c>
      <c r="D5484" s="610" t="s">
        <v>765</v>
      </c>
      <c r="E5484" s="610" t="s">
        <v>379</v>
      </c>
      <c r="F5484" s="610" t="s">
        <v>379</v>
      </c>
      <c r="G5484" s="614">
        <v>0</v>
      </c>
      <c r="H5484" s="611"/>
    </row>
    <row r="5485" spans="1:8" ht="15.75">
      <c r="A5485" s="608" t="s">
        <v>653</v>
      </c>
      <c r="B5485" s="613" t="s">
        <v>654</v>
      </c>
      <c r="C5485" s="610" t="s">
        <v>833</v>
      </c>
      <c r="D5485" s="610" t="s">
        <v>915</v>
      </c>
      <c r="E5485" s="610" t="s">
        <v>379</v>
      </c>
      <c r="F5485" s="610" t="s">
        <v>379</v>
      </c>
      <c r="G5485" s="614">
        <v>0</v>
      </c>
      <c r="H5485" s="611"/>
    </row>
    <row r="5486" spans="1:8" ht="12.75" customHeight="1">
      <c r="A5486" s="608">
        <v>4</v>
      </c>
      <c r="B5486" s="706" t="s">
        <v>656</v>
      </c>
      <c r="C5486" s="706"/>
      <c r="D5486" s="706"/>
      <c r="E5486" s="706"/>
      <c r="F5486" s="706"/>
      <c r="G5486" s="706"/>
      <c r="H5486" s="706"/>
    </row>
    <row r="5487" spans="1:8" ht="31.5">
      <c r="A5487" s="608" t="s">
        <v>657</v>
      </c>
      <c r="B5487" s="612" t="s">
        <v>658</v>
      </c>
      <c r="C5487" s="610" t="s">
        <v>379</v>
      </c>
      <c r="D5487" s="610" t="s">
        <v>379</v>
      </c>
      <c r="E5487" s="610" t="s">
        <v>379</v>
      </c>
      <c r="F5487" s="610" t="s">
        <v>379</v>
      </c>
      <c r="G5487" s="610" t="s">
        <v>379</v>
      </c>
      <c r="H5487" s="611" t="s">
        <v>626</v>
      </c>
    </row>
    <row r="5488" spans="1:8" ht="47.25">
      <c r="A5488" s="608" t="s">
        <v>659</v>
      </c>
      <c r="B5488" s="612" t="s">
        <v>660</v>
      </c>
      <c r="C5488" s="610" t="s">
        <v>379</v>
      </c>
      <c r="D5488" s="610" t="s">
        <v>379</v>
      </c>
      <c r="E5488" s="610" t="s">
        <v>379</v>
      </c>
      <c r="F5488" s="610" t="s">
        <v>379</v>
      </c>
      <c r="G5488" s="610" t="s">
        <v>379</v>
      </c>
      <c r="H5488" s="611" t="s">
        <v>626</v>
      </c>
    </row>
    <row r="5489" spans="1:8" ht="31.5">
      <c r="A5489" s="608" t="s">
        <v>661</v>
      </c>
      <c r="B5489" s="613" t="s">
        <v>662</v>
      </c>
      <c r="C5489" s="610" t="s">
        <v>833</v>
      </c>
      <c r="D5489" s="610" t="s">
        <v>916</v>
      </c>
      <c r="E5489" s="610" t="s">
        <v>379</v>
      </c>
      <c r="F5489" s="610" t="s">
        <v>379</v>
      </c>
      <c r="G5489" s="614">
        <v>0</v>
      </c>
      <c r="H5489" s="611"/>
    </row>
    <row r="5490" spans="1:8" ht="31.5">
      <c r="A5490" s="615" t="s">
        <v>663</v>
      </c>
      <c r="B5490" s="616" t="s">
        <v>664</v>
      </c>
      <c r="C5490" s="617" t="s">
        <v>917</v>
      </c>
      <c r="D5490" s="617" t="s">
        <v>764</v>
      </c>
      <c r="E5490" s="617" t="s">
        <v>379</v>
      </c>
      <c r="F5490" s="617" t="s">
        <v>379</v>
      </c>
      <c r="G5490" s="623">
        <v>0</v>
      </c>
      <c r="H5490" s="618"/>
    </row>
    <row r="5491" spans="1:8" ht="15.75">
      <c r="A5491" s="619"/>
      <c r="B5491" s="620"/>
      <c r="C5491" s="621"/>
      <c r="D5491" s="621"/>
      <c r="E5491" s="621"/>
      <c r="F5491" s="621"/>
      <c r="G5491" s="621"/>
      <c r="H5491" s="148"/>
    </row>
    <row r="5492" spans="1:8" ht="12.75" customHeight="1">
      <c r="A5492" s="707" t="s">
        <v>665</v>
      </c>
      <c r="B5492" s="707"/>
      <c r="C5492" s="707"/>
      <c r="D5492" s="707"/>
      <c r="E5492" s="707"/>
      <c r="F5492" s="707"/>
      <c r="G5492" s="707"/>
      <c r="H5492" s="707"/>
    </row>
    <row r="5495" ht="15.75">
      <c r="H5495" s="11" t="s">
        <v>609</v>
      </c>
    </row>
    <row r="5496" ht="15.75">
      <c r="H5496" s="11" t="s">
        <v>610</v>
      </c>
    </row>
    <row r="5497" ht="15.75">
      <c r="H5497" s="11" t="s">
        <v>611</v>
      </c>
    </row>
    <row r="5498" ht="15.75">
      <c r="H5498" s="11"/>
    </row>
    <row r="5499" spans="1:8" ht="12.75" customHeight="1">
      <c r="A5499" s="713" t="s">
        <v>612</v>
      </c>
      <c r="B5499" s="713"/>
      <c r="C5499" s="713"/>
      <c r="D5499" s="713"/>
      <c r="E5499" s="713"/>
      <c r="F5499" s="713"/>
      <c r="G5499" s="713"/>
      <c r="H5499" s="713"/>
    </row>
    <row r="5500" spans="1:8" ht="12.75" customHeight="1">
      <c r="A5500" s="713" t="s">
        <v>613</v>
      </c>
      <c r="B5500" s="713"/>
      <c r="C5500" s="713"/>
      <c r="D5500" s="713"/>
      <c r="E5500" s="713"/>
      <c r="F5500" s="713"/>
      <c r="G5500" s="713"/>
      <c r="H5500" s="713"/>
    </row>
    <row r="5501" ht="15.75">
      <c r="H5501" s="11" t="s">
        <v>43</v>
      </c>
    </row>
    <row r="5502" ht="15.75">
      <c r="H5502" s="11" t="s">
        <v>44</v>
      </c>
    </row>
    <row r="5503" ht="15.75">
      <c r="H5503" s="11" t="s">
        <v>45</v>
      </c>
    </row>
    <row r="5504" ht="15.75">
      <c r="H5504" s="594" t="s">
        <v>614</v>
      </c>
    </row>
    <row r="5505" ht="15.75">
      <c r="H5505" s="11" t="s">
        <v>615</v>
      </c>
    </row>
    <row r="5506" ht="15.75">
      <c r="H5506" s="11" t="s">
        <v>47</v>
      </c>
    </row>
    <row r="5507" ht="15.75">
      <c r="A5507" s="595"/>
    </row>
    <row r="5508" ht="15.75">
      <c r="A5508" s="3" t="s">
        <v>920</v>
      </c>
    </row>
    <row r="5509" spans="1:8" ht="12.75" customHeight="1">
      <c r="A5509" s="717" t="s">
        <v>0</v>
      </c>
      <c r="B5509" s="714"/>
      <c r="C5509" s="714"/>
      <c r="D5509" s="714"/>
      <c r="E5509" s="714"/>
      <c r="F5509" s="714"/>
      <c r="G5509" s="714"/>
      <c r="H5509" s="714"/>
    </row>
    <row r="5510" spans="1:8" ht="16.5" thickBot="1">
      <c r="A5510" s="597"/>
      <c r="B5510" s="597"/>
      <c r="C5510" s="598"/>
      <c r="D5510" s="598"/>
      <c r="E5510" s="598"/>
      <c r="F5510" s="598"/>
      <c r="G5510" s="598"/>
      <c r="H5510" s="598"/>
    </row>
    <row r="5511" spans="1:8" ht="12.75" customHeight="1">
      <c r="A5511" s="708" t="s">
        <v>617</v>
      </c>
      <c r="B5511" s="710" t="s">
        <v>618</v>
      </c>
      <c r="C5511" s="711" t="s">
        <v>619</v>
      </c>
      <c r="D5511" s="711"/>
      <c r="E5511" s="711"/>
      <c r="F5511" s="711"/>
      <c r="G5511" s="712" t="s">
        <v>620</v>
      </c>
      <c r="H5511" s="708" t="s">
        <v>621</v>
      </c>
    </row>
    <row r="5512" spans="1:8" ht="15.75">
      <c r="A5512" s="708"/>
      <c r="B5512" s="710"/>
      <c r="C5512" s="711"/>
      <c r="D5512" s="711"/>
      <c r="E5512" s="711"/>
      <c r="F5512" s="711"/>
      <c r="G5512" s="712"/>
      <c r="H5512" s="708"/>
    </row>
    <row r="5513" spans="1:8" ht="31.5">
      <c r="A5513" s="708"/>
      <c r="B5513" s="710"/>
      <c r="C5513" s="601" t="s">
        <v>622</v>
      </c>
      <c r="D5513" s="601" t="s">
        <v>623</v>
      </c>
      <c r="E5513" s="602" t="s">
        <v>622</v>
      </c>
      <c r="F5513" s="603" t="s">
        <v>623</v>
      </c>
      <c r="G5513" s="712"/>
      <c r="H5513" s="708"/>
    </row>
    <row r="5514" spans="1:8" ht="15.75">
      <c r="A5514" s="599">
        <v>1</v>
      </c>
      <c r="B5514" s="599">
        <v>2</v>
      </c>
      <c r="C5514" s="604">
        <v>3</v>
      </c>
      <c r="D5514" s="604">
        <v>4</v>
      </c>
      <c r="E5514" s="605"/>
      <c r="F5514" s="606"/>
      <c r="G5514" s="600">
        <v>5</v>
      </c>
      <c r="H5514" s="599">
        <v>6</v>
      </c>
    </row>
    <row r="5515" spans="1:8" ht="12.75" customHeight="1">
      <c r="A5515" s="607">
        <v>1</v>
      </c>
      <c r="B5515" s="709" t="s">
        <v>624</v>
      </c>
      <c r="C5515" s="709"/>
      <c r="D5515" s="709"/>
      <c r="E5515" s="709"/>
      <c r="F5515" s="709"/>
      <c r="G5515" s="709"/>
      <c r="H5515" s="709"/>
    </row>
    <row r="5516" spans="1:8" ht="15.75">
      <c r="A5516" s="608" t="s">
        <v>74</v>
      </c>
      <c r="B5516" s="609" t="s">
        <v>625</v>
      </c>
      <c r="C5516" s="610" t="s">
        <v>379</v>
      </c>
      <c r="D5516" s="610" t="s">
        <v>379</v>
      </c>
      <c r="E5516" s="610" t="s">
        <v>379</v>
      </c>
      <c r="F5516" s="610" t="s">
        <v>379</v>
      </c>
      <c r="G5516" s="610" t="s">
        <v>379</v>
      </c>
      <c r="H5516" s="611" t="s">
        <v>626</v>
      </c>
    </row>
    <row r="5517" spans="1:8" ht="15.75">
      <c r="A5517" s="608" t="s">
        <v>313</v>
      </c>
      <c r="B5517" s="609" t="s">
        <v>627</v>
      </c>
      <c r="C5517" s="610" t="s">
        <v>379</v>
      </c>
      <c r="D5517" s="610" t="s">
        <v>379</v>
      </c>
      <c r="E5517" s="610" t="s">
        <v>379</v>
      </c>
      <c r="F5517" s="610" t="s">
        <v>379</v>
      </c>
      <c r="G5517" s="610" t="s">
        <v>379</v>
      </c>
      <c r="H5517" s="611" t="s">
        <v>626</v>
      </c>
    </row>
    <row r="5518" spans="1:8" ht="31.5">
      <c r="A5518" s="608" t="s">
        <v>315</v>
      </c>
      <c r="B5518" s="612" t="s">
        <v>628</v>
      </c>
      <c r="C5518" s="610" t="s">
        <v>379</v>
      </c>
      <c r="D5518" s="610" t="s">
        <v>379</v>
      </c>
      <c r="E5518" s="610" t="s">
        <v>379</v>
      </c>
      <c r="F5518" s="610" t="s">
        <v>379</v>
      </c>
      <c r="G5518" s="610" t="s">
        <v>379</v>
      </c>
      <c r="H5518" s="611" t="s">
        <v>626</v>
      </c>
    </row>
    <row r="5519" spans="1:8" ht="47.25">
      <c r="A5519" s="608" t="s">
        <v>317</v>
      </c>
      <c r="B5519" s="612" t="s">
        <v>629</v>
      </c>
      <c r="C5519" s="610" t="s">
        <v>379</v>
      </c>
      <c r="D5519" s="610" t="s">
        <v>379</v>
      </c>
      <c r="E5519" s="610" t="s">
        <v>379</v>
      </c>
      <c r="F5519" s="610" t="s">
        <v>379</v>
      </c>
      <c r="G5519" s="610" t="s">
        <v>379</v>
      </c>
      <c r="H5519" s="611" t="s">
        <v>626</v>
      </c>
    </row>
    <row r="5520" spans="1:8" ht="15.75">
      <c r="A5520" s="608" t="s">
        <v>630</v>
      </c>
      <c r="B5520" s="613" t="s">
        <v>631</v>
      </c>
      <c r="C5520" s="610" t="s">
        <v>379</v>
      </c>
      <c r="D5520" s="610" t="s">
        <v>379</v>
      </c>
      <c r="E5520" s="610" t="s">
        <v>379</v>
      </c>
      <c r="F5520" s="610" t="s">
        <v>379</v>
      </c>
      <c r="G5520" s="610" t="s">
        <v>379</v>
      </c>
      <c r="H5520" s="611" t="s">
        <v>626</v>
      </c>
    </row>
    <row r="5521" spans="1:8" ht="15.75">
      <c r="A5521" s="608" t="s">
        <v>632</v>
      </c>
      <c r="B5521" s="613" t="s">
        <v>633</v>
      </c>
      <c r="C5521" s="610" t="s">
        <v>379</v>
      </c>
      <c r="D5521" s="610" t="s">
        <v>379</v>
      </c>
      <c r="E5521" s="610" t="s">
        <v>379</v>
      </c>
      <c r="F5521" s="610" t="s">
        <v>379</v>
      </c>
      <c r="G5521" s="610" t="s">
        <v>379</v>
      </c>
      <c r="H5521" s="611" t="s">
        <v>626</v>
      </c>
    </row>
    <row r="5522" spans="1:8" ht="12.75" customHeight="1">
      <c r="A5522" s="608">
        <v>2</v>
      </c>
      <c r="B5522" s="706" t="s">
        <v>634</v>
      </c>
      <c r="C5522" s="706"/>
      <c r="D5522" s="706"/>
      <c r="E5522" s="706"/>
      <c r="F5522" s="706"/>
      <c r="G5522" s="706"/>
      <c r="H5522" s="706"/>
    </row>
    <row r="5523" spans="1:8" ht="31.5">
      <c r="A5523" s="608" t="s">
        <v>321</v>
      </c>
      <c r="B5523" s="612" t="s">
        <v>635</v>
      </c>
      <c r="C5523" s="610" t="s">
        <v>721</v>
      </c>
      <c r="D5523" s="610" t="s">
        <v>852</v>
      </c>
      <c r="E5523" s="610" t="s">
        <v>379</v>
      </c>
      <c r="F5523" s="610" t="s">
        <v>379</v>
      </c>
      <c r="G5523" s="614">
        <v>0</v>
      </c>
      <c r="H5523" s="611"/>
    </row>
    <row r="5524" spans="1:8" ht="47.25">
      <c r="A5524" s="608" t="s">
        <v>325</v>
      </c>
      <c r="B5524" s="612" t="s">
        <v>638</v>
      </c>
      <c r="C5524" s="610" t="s">
        <v>379</v>
      </c>
      <c r="D5524" s="610" t="s">
        <v>379</v>
      </c>
      <c r="E5524" s="610" t="s">
        <v>379</v>
      </c>
      <c r="F5524" s="610" t="s">
        <v>379</v>
      </c>
      <c r="G5524" s="610" t="s">
        <v>379</v>
      </c>
      <c r="H5524" s="611" t="s">
        <v>626</v>
      </c>
    </row>
    <row r="5525" spans="1:8" ht="31.5">
      <c r="A5525" s="608" t="s">
        <v>639</v>
      </c>
      <c r="B5525" s="612" t="s">
        <v>640</v>
      </c>
      <c r="C5525" s="610" t="s">
        <v>379</v>
      </c>
      <c r="D5525" s="610" t="s">
        <v>379</v>
      </c>
      <c r="E5525" s="610" t="s">
        <v>379</v>
      </c>
      <c r="F5525" s="610" t="s">
        <v>379</v>
      </c>
      <c r="G5525" s="610" t="s">
        <v>379</v>
      </c>
      <c r="H5525" s="611" t="s">
        <v>626</v>
      </c>
    </row>
    <row r="5526" spans="1:8" ht="12.75" customHeight="1">
      <c r="A5526" s="608">
        <v>3</v>
      </c>
      <c r="B5526" s="706" t="s">
        <v>641</v>
      </c>
      <c r="C5526" s="706"/>
      <c r="D5526" s="706"/>
      <c r="E5526" s="706"/>
      <c r="F5526" s="706"/>
      <c r="G5526" s="706"/>
      <c r="H5526" s="706"/>
    </row>
    <row r="5527" spans="1:8" ht="31.5">
      <c r="A5527" s="608" t="s">
        <v>378</v>
      </c>
      <c r="B5527" s="613" t="s">
        <v>642</v>
      </c>
      <c r="C5527" s="610" t="s">
        <v>379</v>
      </c>
      <c r="D5527" s="610" t="s">
        <v>379</v>
      </c>
      <c r="E5527" s="610" t="s">
        <v>379</v>
      </c>
      <c r="F5527" s="610" t="s">
        <v>379</v>
      </c>
      <c r="G5527" s="610" t="s">
        <v>379</v>
      </c>
      <c r="H5527" s="611" t="s">
        <v>626</v>
      </c>
    </row>
    <row r="5528" spans="1:8" ht="15.75">
      <c r="A5528" s="608" t="s">
        <v>643</v>
      </c>
      <c r="B5528" s="613" t="s">
        <v>644</v>
      </c>
      <c r="C5528" s="610" t="s">
        <v>917</v>
      </c>
      <c r="D5528" s="610" t="s">
        <v>764</v>
      </c>
      <c r="E5528" s="610" t="s">
        <v>379</v>
      </c>
      <c r="F5528" s="610" t="s">
        <v>379</v>
      </c>
      <c r="G5528" s="614">
        <v>0</v>
      </c>
      <c r="H5528" s="611"/>
    </row>
    <row r="5529" spans="1:8" ht="15.75">
      <c r="A5529" s="608" t="s">
        <v>380</v>
      </c>
      <c r="B5529" s="613" t="s">
        <v>646</v>
      </c>
      <c r="C5529" s="610" t="s">
        <v>838</v>
      </c>
      <c r="D5529" s="610" t="s">
        <v>921</v>
      </c>
      <c r="E5529" s="610" t="s">
        <v>379</v>
      </c>
      <c r="F5529" s="610" t="s">
        <v>379</v>
      </c>
      <c r="G5529" s="614">
        <v>0</v>
      </c>
      <c r="H5529" s="611"/>
    </row>
    <row r="5530" spans="1:8" ht="15.75">
      <c r="A5530" s="608" t="s">
        <v>649</v>
      </c>
      <c r="B5530" s="613" t="s">
        <v>650</v>
      </c>
      <c r="C5530" s="610" t="s">
        <v>922</v>
      </c>
      <c r="D5530" s="610" t="s">
        <v>923</v>
      </c>
      <c r="E5530" s="610" t="s">
        <v>379</v>
      </c>
      <c r="F5530" s="610" t="s">
        <v>379</v>
      </c>
      <c r="G5530" s="614">
        <v>0</v>
      </c>
      <c r="H5530" s="611"/>
    </row>
    <row r="5531" spans="1:8" ht="15.75">
      <c r="A5531" s="608" t="s">
        <v>653</v>
      </c>
      <c r="B5531" s="613" t="s">
        <v>654</v>
      </c>
      <c r="C5531" s="610" t="s">
        <v>924</v>
      </c>
      <c r="D5531" s="610" t="s">
        <v>727</v>
      </c>
      <c r="E5531" s="610" t="s">
        <v>379</v>
      </c>
      <c r="F5531" s="610" t="s">
        <v>379</v>
      </c>
      <c r="G5531" s="614">
        <v>0</v>
      </c>
      <c r="H5531" s="611"/>
    </row>
    <row r="5532" spans="1:8" ht="12.75" customHeight="1">
      <c r="A5532" s="608">
        <v>4</v>
      </c>
      <c r="B5532" s="706" t="s">
        <v>656</v>
      </c>
      <c r="C5532" s="706"/>
      <c r="D5532" s="706"/>
      <c r="E5532" s="706"/>
      <c r="F5532" s="706"/>
      <c r="G5532" s="706"/>
      <c r="H5532" s="706"/>
    </row>
    <row r="5533" spans="1:8" ht="31.5">
      <c r="A5533" s="608" t="s">
        <v>657</v>
      </c>
      <c r="B5533" s="612" t="s">
        <v>658</v>
      </c>
      <c r="C5533" s="610" t="s">
        <v>379</v>
      </c>
      <c r="D5533" s="610" t="s">
        <v>379</v>
      </c>
      <c r="E5533" s="610" t="s">
        <v>379</v>
      </c>
      <c r="F5533" s="610" t="s">
        <v>379</v>
      </c>
      <c r="G5533" s="610" t="s">
        <v>379</v>
      </c>
      <c r="H5533" s="611" t="s">
        <v>626</v>
      </c>
    </row>
    <row r="5534" spans="1:8" ht="47.25">
      <c r="A5534" s="608" t="s">
        <v>659</v>
      </c>
      <c r="B5534" s="612" t="s">
        <v>660</v>
      </c>
      <c r="C5534" s="610" t="s">
        <v>379</v>
      </c>
      <c r="D5534" s="610" t="s">
        <v>379</v>
      </c>
      <c r="E5534" s="610" t="s">
        <v>379</v>
      </c>
      <c r="F5534" s="610" t="s">
        <v>379</v>
      </c>
      <c r="G5534" s="610" t="s">
        <v>379</v>
      </c>
      <c r="H5534" s="611" t="s">
        <v>626</v>
      </c>
    </row>
    <row r="5535" spans="1:8" ht="31.5">
      <c r="A5535" s="608" t="s">
        <v>661</v>
      </c>
      <c r="B5535" s="613" t="s">
        <v>662</v>
      </c>
      <c r="C5535" s="610" t="s">
        <v>925</v>
      </c>
      <c r="D5535" s="610" t="s">
        <v>728</v>
      </c>
      <c r="E5535" s="610" t="s">
        <v>379</v>
      </c>
      <c r="F5535" s="610" t="s">
        <v>379</v>
      </c>
      <c r="G5535" s="614">
        <v>0</v>
      </c>
      <c r="H5535" s="611"/>
    </row>
    <row r="5536" spans="1:8" ht="31.5">
      <c r="A5536" s="615" t="s">
        <v>663</v>
      </c>
      <c r="B5536" s="616" t="s">
        <v>664</v>
      </c>
      <c r="C5536" s="617" t="s">
        <v>729</v>
      </c>
      <c r="D5536" s="617" t="s">
        <v>725</v>
      </c>
      <c r="E5536" s="617" t="s">
        <v>379</v>
      </c>
      <c r="F5536" s="617" t="s">
        <v>379</v>
      </c>
      <c r="G5536" s="623">
        <v>0</v>
      </c>
      <c r="H5536" s="618"/>
    </row>
    <row r="5537" spans="1:8" ht="15.75">
      <c r="A5537" s="619"/>
      <c r="B5537" s="620"/>
      <c r="C5537" s="621"/>
      <c r="D5537" s="621"/>
      <c r="E5537" s="621"/>
      <c r="F5537" s="621"/>
      <c r="G5537" s="621"/>
      <c r="H5537" s="148"/>
    </row>
    <row r="5538" spans="1:8" ht="12.75" customHeight="1">
      <c r="A5538" s="707" t="s">
        <v>665</v>
      </c>
      <c r="B5538" s="707"/>
      <c r="C5538" s="707"/>
      <c r="D5538" s="707"/>
      <c r="E5538" s="707"/>
      <c r="F5538" s="707"/>
      <c r="G5538" s="707"/>
      <c r="H5538" s="707"/>
    </row>
    <row r="5541" ht="15.75">
      <c r="H5541" s="11" t="s">
        <v>609</v>
      </c>
    </row>
    <row r="5542" ht="15.75">
      <c r="H5542" s="11" t="s">
        <v>610</v>
      </c>
    </row>
    <row r="5543" ht="15.75">
      <c r="H5543" s="11" t="s">
        <v>611</v>
      </c>
    </row>
    <row r="5544" ht="15.75">
      <c r="H5544" s="11"/>
    </row>
    <row r="5545" spans="1:8" ht="12.75" customHeight="1">
      <c r="A5545" s="713" t="s">
        <v>612</v>
      </c>
      <c r="B5545" s="713"/>
      <c r="C5545" s="713"/>
      <c r="D5545" s="713"/>
      <c r="E5545" s="713"/>
      <c r="F5545" s="713"/>
      <c r="G5545" s="713"/>
      <c r="H5545" s="713"/>
    </row>
    <row r="5546" spans="1:8" ht="12.75" customHeight="1">
      <c r="A5546" s="713" t="s">
        <v>613</v>
      </c>
      <c r="B5546" s="713"/>
      <c r="C5546" s="713"/>
      <c r="D5546" s="713"/>
      <c r="E5546" s="713"/>
      <c r="F5546" s="713"/>
      <c r="G5546" s="713"/>
      <c r="H5546" s="713"/>
    </row>
    <row r="5547" ht="15.75">
      <c r="H5547" s="11" t="s">
        <v>43</v>
      </c>
    </row>
    <row r="5548" ht="15.75">
      <c r="H5548" s="11" t="s">
        <v>44</v>
      </c>
    </row>
    <row r="5549" ht="15.75">
      <c r="H5549" s="11" t="s">
        <v>45</v>
      </c>
    </row>
    <row r="5550" ht="15.75">
      <c r="H5550" s="594" t="s">
        <v>614</v>
      </c>
    </row>
    <row r="5551" ht="15.75">
      <c r="H5551" s="11" t="s">
        <v>615</v>
      </c>
    </row>
    <row r="5552" ht="15.75">
      <c r="H5552" s="11" t="s">
        <v>47</v>
      </c>
    </row>
    <row r="5553" ht="15.75">
      <c r="A5553" s="595"/>
    </row>
    <row r="5554" ht="15.75">
      <c r="A5554" s="3" t="s">
        <v>926</v>
      </c>
    </row>
    <row r="5555" spans="1:8" ht="12.75" customHeight="1">
      <c r="A5555" s="717" t="s">
        <v>0</v>
      </c>
      <c r="B5555" s="714"/>
      <c r="C5555" s="714"/>
      <c r="D5555" s="714"/>
      <c r="E5555" s="714"/>
      <c r="F5555" s="714"/>
      <c r="G5555" s="714"/>
      <c r="H5555" s="714"/>
    </row>
    <row r="5556" spans="1:8" ht="16.5" thickBot="1">
      <c r="A5556" s="597"/>
      <c r="B5556" s="597"/>
      <c r="C5556" s="598"/>
      <c r="D5556" s="598"/>
      <c r="E5556" s="598"/>
      <c r="F5556" s="598"/>
      <c r="G5556" s="598"/>
      <c r="H5556" s="598"/>
    </row>
    <row r="5557" spans="1:8" ht="12.75" customHeight="1">
      <c r="A5557" s="708" t="s">
        <v>617</v>
      </c>
      <c r="B5557" s="710" t="s">
        <v>618</v>
      </c>
      <c r="C5557" s="711" t="s">
        <v>619</v>
      </c>
      <c r="D5557" s="711"/>
      <c r="E5557" s="711"/>
      <c r="F5557" s="711"/>
      <c r="G5557" s="712" t="s">
        <v>620</v>
      </c>
      <c r="H5557" s="708" t="s">
        <v>621</v>
      </c>
    </row>
    <row r="5558" spans="1:8" ht="15.75">
      <c r="A5558" s="708"/>
      <c r="B5558" s="710"/>
      <c r="C5558" s="711"/>
      <c r="D5558" s="711"/>
      <c r="E5558" s="711"/>
      <c r="F5558" s="711"/>
      <c r="G5558" s="712"/>
      <c r="H5558" s="708"/>
    </row>
    <row r="5559" spans="1:8" ht="31.5">
      <c r="A5559" s="708"/>
      <c r="B5559" s="710"/>
      <c r="C5559" s="601" t="s">
        <v>622</v>
      </c>
      <c r="D5559" s="601" t="s">
        <v>623</v>
      </c>
      <c r="E5559" s="602" t="s">
        <v>622</v>
      </c>
      <c r="F5559" s="603" t="s">
        <v>623</v>
      </c>
      <c r="G5559" s="712"/>
      <c r="H5559" s="708"/>
    </row>
    <row r="5560" spans="1:8" ht="15.75">
      <c r="A5560" s="599">
        <v>1</v>
      </c>
      <c r="B5560" s="599">
        <v>2</v>
      </c>
      <c r="C5560" s="604">
        <v>3</v>
      </c>
      <c r="D5560" s="604">
        <v>4</v>
      </c>
      <c r="E5560" s="605"/>
      <c r="F5560" s="606"/>
      <c r="G5560" s="600">
        <v>5</v>
      </c>
      <c r="H5560" s="599">
        <v>6</v>
      </c>
    </row>
    <row r="5561" spans="1:8" ht="12.75" customHeight="1">
      <c r="A5561" s="607">
        <v>1</v>
      </c>
      <c r="B5561" s="709" t="s">
        <v>624</v>
      </c>
      <c r="C5561" s="709"/>
      <c r="D5561" s="709"/>
      <c r="E5561" s="709"/>
      <c r="F5561" s="709"/>
      <c r="G5561" s="709"/>
      <c r="H5561" s="709"/>
    </row>
    <row r="5562" spans="1:8" ht="15.75">
      <c r="A5562" s="608" t="s">
        <v>74</v>
      </c>
      <c r="B5562" s="609" t="s">
        <v>625</v>
      </c>
      <c r="C5562" s="610" t="s">
        <v>379</v>
      </c>
      <c r="D5562" s="610" t="s">
        <v>379</v>
      </c>
      <c r="E5562" s="610" t="s">
        <v>379</v>
      </c>
      <c r="F5562" s="610" t="s">
        <v>379</v>
      </c>
      <c r="G5562" s="610" t="s">
        <v>379</v>
      </c>
      <c r="H5562" s="611" t="s">
        <v>626</v>
      </c>
    </row>
    <row r="5563" spans="1:8" ht="15.75">
      <c r="A5563" s="608" t="s">
        <v>313</v>
      </c>
      <c r="B5563" s="609" t="s">
        <v>627</v>
      </c>
      <c r="C5563" s="610" t="s">
        <v>379</v>
      </c>
      <c r="D5563" s="610" t="s">
        <v>379</v>
      </c>
      <c r="E5563" s="610" t="s">
        <v>379</v>
      </c>
      <c r="F5563" s="610" t="s">
        <v>379</v>
      </c>
      <c r="G5563" s="610" t="s">
        <v>379</v>
      </c>
      <c r="H5563" s="611" t="s">
        <v>626</v>
      </c>
    </row>
    <row r="5564" spans="1:8" ht="31.5">
      <c r="A5564" s="608" t="s">
        <v>315</v>
      </c>
      <c r="B5564" s="612" t="s">
        <v>628</v>
      </c>
      <c r="C5564" s="610" t="s">
        <v>379</v>
      </c>
      <c r="D5564" s="610" t="s">
        <v>379</v>
      </c>
      <c r="E5564" s="610" t="s">
        <v>379</v>
      </c>
      <c r="F5564" s="610" t="s">
        <v>379</v>
      </c>
      <c r="G5564" s="610" t="s">
        <v>379</v>
      </c>
      <c r="H5564" s="611" t="s">
        <v>626</v>
      </c>
    </row>
    <row r="5565" spans="1:8" ht="47.25">
      <c r="A5565" s="608" t="s">
        <v>317</v>
      </c>
      <c r="B5565" s="612" t="s">
        <v>629</v>
      </c>
      <c r="C5565" s="610" t="s">
        <v>379</v>
      </c>
      <c r="D5565" s="610" t="s">
        <v>379</v>
      </c>
      <c r="E5565" s="610" t="s">
        <v>379</v>
      </c>
      <c r="F5565" s="610" t="s">
        <v>379</v>
      </c>
      <c r="G5565" s="610" t="s">
        <v>379</v>
      </c>
      <c r="H5565" s="611" t="s">
        <v>626</v>
      </c>
    </row>
    <row r="5566" spans="1:8" ht="15.75">
      <c r="A5566" s="608" t="s">
        <v>630</v>
      </c>
      <c r="B5566" s="613" t="s">
        <v>631</v>
      </c>
      <c r="C5566" s="610" t="s">
        <v>379</v>
      </c>
      <c r="D5566" s="610" t="s">
        <v>379</v>
      </c>
      <c r="E5566" s="610" t="s">
        <v>379</v>
      </c>
      <c r="F5566" s="610" t="s">
        <v>379</v>
      </c>
      <c r="G5566" s="610" t="s">
        <v>379</v>
      </c>
      <c r="H5566" s="611" t="s">
        <v>626</v>
      </c>
    </row>
    <row r="5567" spans="1:8" ht="15.75">
      <c r="A5567" s="608" t="s">
        <v>632</v>
      </c>
      <c r="B5567" s="613" t="s">
        <v>633</v>
      </c>
      <c r="C5567" s="610" t="s">
        <v>379</v>
      </c>
      <c r="D5567" s="610" t="s">
        <v>379</v>
      </c>
      <c r="E5567" s="610" t="s">
        <v>379</v>
      </c>
      <c r="F5567" s="610" t="s">
        <v>379</v>
      </c>
      <c r="G5567" s="610" t="s">
        <v>379</v>
      </c>
      <c r="H5567" s="611" t="s">
        <v>626</v>
      </c>
    </row>
    <row r="5568" spans="1:8" ht="12.75" customHeight="1">
      <c r="A5568" s="608">
        <v>2</v>
      </c>
      <c r="B5568" s="706" t="s">
        <v>634</v>
      </c>
      <c r="C5568" s="706"/>
      <c r="D5568" s="706"/>
      <c r="E5568" s="706"/>
      <c r="F5568" s="706"/>
      <c r="G5568" s="706"/>
      <c r="H5568" s="706"/>
    </row>
    <row r="5569" spans="1:8" ht="31.5">
      <c r="A5569" s="608" t="s">
        <v>321</v>
      </c>
      <c r="B5569" s="612" t="s">
        <v>635</v>
      </c>
      <c r="C5569" s="610" t="s">
        <v>721</v>
      </c>
      <c r="D5569" s="610" t="s">
        <v>852</v>
      </c>
      <c r="E5569" s="610" t="s">
        <v>379</v>
      </c>
      <c r="F5569" s="610" t="s">
        <v>379</v>
      </c>
      <c r="G5569" s="614">
        <v>0</v>
      </c>
      <c r="H5569" s="611"/>
    </row>
    <row r="5570" spans="1:8" ht="47.25">
      <c r="A5570" s="608" t="s">
        <v>325</v>
      </c>
      <c r="B5570" s="612" t="s">
        <v>638</v>
      </c>
      <c r="C5570" s="610" t="s">
        <v>379</v>
      </c>
      <c r="D5570" s="610" t="s">
        <v>379</v>
      </c>
      <c r="E5570" s="610" t="s">
        <v>379</v>
      </c>
      <c r="F5570" s="610" t="s">
        <v>379</v>
      </c>
      <c r="G5570" s="610" t="s">
        <v>379</v>
      </c>
      <c r="H5570" s="611" t="s">
        <v>626</v>
      </c>
    </row>
    <row r="5571" spans="1:8" ht="31.5">
      <c r="A5571" s="608" t="s">
        <v>639</v>
      </c>
      <c r="B5571" s="612" t="s">
        <v>640</v>
      </c>
      <c r="C5571" s="610" t="s">
        <v>379</v>
      </c>
      <c r="D5571" s="610" t="s">
        <v>379</v>
      </c>
      <c r="E5571" s="610" t="s">
        <v>379</v>
      </c>
      <c r="F5571" s="610" t="s">
        <v>379</v>
      </c>
      <c r="G5571" s="610" t="s">
        <v>379</v>
      </c>
      <c r="H5571" s="611" t="s">
        <v>626</v>
      </c>
    </row>
    <row r="5572" spans="1:8" ht="12.75" customHeight="1">
      <c r="A5572" s="608">
        <v>3</v>
      </c>
      <c r="B5572" s="706" t="s">
        <v>641</v>
      </c>
      <c r="C5572" s="706"/>
      <c r="D5572" s="706"/>
      <c r="E5572" s="706"/>
      <c r="F5572" s="706"/>
      <c r="G5572" s="706"/>
      <c r="H5572" s="706"/>
    </row>
    <row r="5573" spans="1:8" ht="31.5">
      <c r="A5573" s="608" t="s">
        <v>378</v>
      </c>
      <c r="B5573" s="613" t="s">
        <v>642</v>
      </c>
      <c r="C5573" s="610" t="s">
        <v>379</v>
      </c>
      <c r="D5573" s="610" t="s">
        <v>379</v>
      </c>
      <c r="E5573" s="610" t="s">
        <v>379</v>
      </c>
      <c r="F5573" s="610" t="s">
        <v>379</v>
      </c>
      <c r="G5573" s="610" t="s">
        <v>379</v>
      </c>
      <c r="H5573" s="611" t="s">
        <v>626</v>
      </c>
    </row>
    <row r="5574" spans="1:8" ht="15.75">
      <c r="A5574" s="608" t="s">
        <v>643</v>
      </c>
      <c r="B5574" s="613" t="s">
        <v>644</v>
      </c>
      <c r="C5574" s="610" t="s">
        <v>917</v>
      </c>
      <c r="D5574" s="610" t="s">
        <v>764</v>
      </c>
      <c r="E5574" s="610" t="s">
        <v>379</v>
      </c>
      <c r="F5574" s="610" t="s">
        <v>379</v>
      </c>
      <c r="G5574" s="614">
        <v>0</v>
      </c>
      <c r="H5574" s="611"/>
    </row>
    <row r="5575" spans="1:8" ht="15.75">
      <c r="A5575" s="608" t="s">
        <v>380</v>
      </c>
      <c r="B5575" s="613" t="s">
        <v>646</v>
      </c>
      <c r="C5575" s="610" t="s">
        <v>838</v>
      </c>
      <c r="D5575" s="610" t="s">
        <v>921</v>
      </c>
      <c r="E5575" s="610" t="s">
        <v>379</v>
      </c>
      <c r="F5575" s="610" t="s">
        <v>379</v>
      </c>
      <c r="G5575" s="614">
        <v>0</v>
      </c>
      <c r="H5575" s="611"/>
    </row>
    <row r="5576" spans="1:8" ht="15.75">
      <c r="A5576" s="608" t="s">
        <v>649</v>
      </c>
      <c r="B5576" s="613" t="s">
        <v>650</v>
      </c>
      <c r="C5576" s="610" t="s">
        <v>922</v>
      </c>
      <c r="D5576" s="610" t="s">
        <v>923</v>
      </c>
      <c r="E5576" s="610" t="s">
        <v>379</v>
      </c>
      <c r="F5576" s="610" t="s">
        <v>379</v>
      </c>
      <c r="G5576" s="614">
        <v>0</v>
      </c>
      <c r="H5576" s="611"/>
    </row>
    <row r="5577" spans="1:8" ht="15.75">
      <c r="A5577" s="608" t="s">
        <v>653</v>
      </c>
      <c r="B5577" s="613" t="s">
        <v>654</v>
      </c>
      <c r="C5577" s="610" t="s">
        <v>924</v>
      </c>
      <c r="D5577" s="610" t="s">
        <v>727</v>
      </c>
      <c r="E5577" s="610" t="s">
        <v>379</v>
      </c>
      <c r="F5577" s="610" t="s">
        <v>379</v>
      </c>
      <c r="G5577" s="614">
        <v>0</v>
      </c>
      <c r="H5577" s="611"/>
    </row>
    <row r="5578" spans="1:8" ht="12.75" customHeight="1">
      <c r="A5578" s="608">
        <v>4</v>
      </c>
      <c r="B5578" s="706" t="s">
        <v>656</v>
      </c>
      <c r="C5578" s="706"/>
      <c r="D5578" s="706"/>
      <c r="E5578" s="706"/>
      <c r="F5578" s="706"/>
      <c r="G5578" s="706"/>
      <c r="H5578" s="706"/>
    </row>
    <row r="5579" spans="1:8" ht="31.5">
      <c r="A5579" s="608" t="s">
        <v>657</v>
      </c>
      <c r="B5579" s="612" t="s">
        <v>658</v>
      </c>
      <c r="C5579" s="610" t="s">
        <v>379</v>
      </c>
      <c r="D5579" s="610" t="s">
        <v>379</v>
      </c>
      <c r="E5579" s="610" t="s">
        <v>379</v>
      </c>
      <c r="F5579" s="610" t="s">
        <v>379</v>
      </c>
      <c r="G5579" s="610" t="s">
        <v>379</v>
      </c>
      <c r="H5579" s="611" t="s">
        <v>626</v>
      </c>
    </row>
    <row r="5580" spans="1:8" ht="47.25">
      <c r="A5580" s="608" t="s">
        <v>659</v>
      </c>
      <c r="B5580" s="612" t="s">
        <v>660</v>
      </c>
      <c r="C5580" s="610" t="s">
        <v>379</v>
      </c>
      <c r="D5580" s="610" t="s">
        <v>379</v>
      </c>
      <c r="E5580" s="610" t="s">
        <v>379</v>
      </c>
      <c r="F5580" s="610" t="s">
        <v>379</v>
      </c>
      <c r="G5580" s="610" t="s">
        <v>379</v>
      </c>
      <c r="H5580" s="611" t="s">
        <v>626</v>
      </c>
    </row>
    <row r="5581" spans="1:8" ht="31.5">
      <c r="A5581" s="608" t="s">
        <v>661</v>
      </c>
      <c r="B5581" s="613" t="s">
        <v>662</v>
      </c>
      <c r="C5581" s="610" t="s">
        <v>925</v>
      </c>
      <c r="D5581" s="610" t="s">
        <v>728</v>
      </c>
      <c r="E5581" s="610" t="s">
        <v>379</v>
      </c>
      <c r="F5581" s="610" t="s">
        <v>379</v>
      </c>
      <c r="G5581" s="614">
        <v>0</v>
      </c>
      <c r="H5581" s="611"/>
    </row>
    <row r="5582" spans="1:8" ht="31.5">
      <c r="A5582" s="615" t="s">
        <v>663</v>
      </c>
      <c r="B5582" s="616" t="s">
        <v>664</v>
      </c>
      <c r="C5582" s="617" t="s">
        <v>729</v>
      </c>
      <c r="D5582" s="617" t="s">
        <v>725</v>
      </c>
      <c r="E5582" s="617" t="s">
        <v>379</v>
      </c>
      <c r="F5582" s="617" t="s">
        <v>379</v>
      </c>
      <c r="G5582" s="623">
        <v>0</v>
      </c>
      <c r="H5582" s="618"/>
    </row>
    <row r="5583" spans="1:8" ht="15.75">
      <c r="A5583" s="619"/>
      <c r="B5583" s="620"/>
      <c r="C5583" s="621"/>
      <c r="D5583" s="621"/>
      <c r="E5583" s="621"/>
      <c r="F5583" s="621"/>
      <c r="G5583" s="621"/>
      <c r="H5583" s="148"/>
    </row>
    <row r="5584" spans="1:8" ht="12.75" customHeight="1">
      <c r="A5584" s="707" t="s">
        <v>665</v>
      </c>
      <c r="B5584" s="707"/>
      <c r="C5584" s="707"/>
      <c r="D5584" s="707"/>
      <c r="E5584" s="707"/>
      <c r="F5584" s="707"/>
      <c r="G5584" s="707"/>
      <c r="H5584" s="707"/>
    </row>
    <row r="5588" ht="15.75">
      <c r="H5588" s="11" t="s">
        <v>609</v>
      </c>
    </row>
    <row r="5589" ht="15.75">
      <c r="H5589" s="11" t="s">
        <v>610</v>
      </c>
    </row>
    <row r="5590" ht="15.75">
      <c r="H5590" s="11" t="s">
        <v>611</v>
      </c>
    </row>
    <row r="5591" ht="15.75">
      <c r="H5591" s="11"/>
    </row>
    <row r="5592" spans="1:8" ht="12.75" customHeight="1">
      <c r="A5592" s="713" t="s">
        <v>612</v>
      </c>
      <c r="B5592" s="713"/>
      <c r="C5592" s="713"/>
      <c r="D5592" s="713"/>
      <c r="E5592" s="713"/>
      <c r="F5592" s="713"/>
      <c r="G5592" s="713"/>
      <c r="H5592" s="713"/>
    </row>
    <row r="5593" spans="1:8" ht="12.75" customHeight="1">
      <c r="A5593" s="713" t="s">
        <v>613</v>
      </c>
      <c r="B5593" s="713"/>
      <c r="C5593" s="713"/>
      <c r="D5593" s="713"/>
      <c r="E5593" s="713"/>
      <c r="F5593" s="713"/>
      <c r="G5593" s="713"/>
      <c r="H5593" s="713"/>
    </row>
    <row r="5594" ht="15.75">
      <c r="H5594" s="11" t="s">
        <v>43</v>
      </c>
    </row>
    <row r="5595" ht="15.75">
      <c r="H5595" s="11" t="s">
        <v>44</v>
      </c>
    </row>
    <row r="5596" ht="15.75">
      <c r="H5596" s="11" t="s">
        <v>45</v>
      </c>
    </row>
    <row r="5597" ht="15.75">
      <c r="H5597" s="594" t="s">
        <v>614</v>
      </c>
    </row>
    <row r="5598" ht="15.75">
      <c r="H5598" s="11" t="s">
        <v>615</v>
      </c>
    </row>
    <row r="5599" ht="15.75">
      <c r="H5599" s="11" t="s">
        <v>47</v>
      </c>
    </row>
    <row r="5600" ht="15.75">
      <c r="A5600" s="595"/>
    </row>
    <row r="5601" ht="15.75">
      <c r="A5601" s="3" t="s">
        <v>927</v>
      </c>
    </row>
    <row r="5602" spans="1:8" ht="12.75" customHeight="1">
      <c r="A5602" s="717" t="s">
        <v>0</v>
      </c>
      <c r="B5602" s="714"/>
      <c r="C5602" s="714"/>
      <c r="D5602" s="714"/>
      <c r="E5602" s="714"/>
      <c r="F5602" s="714"/>
      <c r="G5602" s="714"/>
      <c r="H5602" s="714"/>
    </row>
    <row r="5603" spans="1:8" ht="16.5" thickBot="1">
      <c r="A5603" s="597"/>
      <c r="B5603" s="597"/>
      <c r="C5603" s="598"/>
      <c r="D5603" s="598"/>
      <c r="E5603" s="598"/>
      <c r="F5603" s="598"/>
      <c r="G5603" s="598"/>
      <c r="H5603" s="598"/>
    </row>
    <row r="5604" spans="1:8" ht="12.75" customHeight="1">
      <c r="A5604" s="708" t="s">
        <v>617</v>
      </c>
      <c r="B5604" s="710" t="s">
        <v>618</v>
      </c>
      <c r="C5604" s="711" t="s">
        <v>619</v>
      </c>
      <c r="D5604" s="711"/>
      <c r="E5604" s="711"/>
      <c r="F5604" s="711"/>
      <c r="G5604" s="712" t="s">
        <v>620</v>
      </c>
      <c r="H5604" s="708" t="s">
        <v>621</v>
      </c>
    </row>
    <row r="5605" spans="1:8" ht="15.75">
      <c r="A5605" s="708"/>
      <c r="B5605" s="710"/>
      <c r="C5605" s="711"/>
      <c r="D5605" s="711"/>
      <c r="E5605" s="711"/>
      <c r="F5605" s="711"/>
      <c r="G5605" s="712"/>
      <c r="H5605" s="708"/>
    </row>
    <row r="5606" spans="1:8" ht="31.5">
      <c r="A5606" s="708"/>
      <c r="B5606" s="710"/>
      <c r="C5606" s="601" t="s">
        <v>622</v>
      </c>
      <c r="D5606" s="601" t="s">
        <v>623</v>
      </c>
      <c r="E5606" s="602" t="s">
        <v>622</v>
      </c>
      <c r="F5606" s="603" t="s">
        <v>623</v>
      </c>
      <c r="G5606" s="712"/>
      <c r="H5606" s="708"/>
    </row>
    <row r="5607" spans="1:8" ht="15.75">
      <c r="A5607" s="599">
        <v>1</v>
      </c>
      <c r="B5607" s="599">
        <v>2</v>
      </c>
      <c r="C5607" s="604">
        <v>3</v>
      </c>
      <c r="D5607" s="604">
        <v>4</v>
      </c>
      <c r="E5607" s="605"/>
      <c r="F5607" s="606"/>
      <c r="G5607" s="600">
        <v>5</v>
      </c>
      <c r="H5607" s="599">
        <v>6</v>
      </c>
    </row>
    <row r="5608" spans="1:8" ht="12.75" customHeight="1">
      <c r="A5608" s="607">
        <v>1</v>
      </c>
      <c r="B5608" s="709" t="s">
        <v>624</v>
      </c>
      <c r="C5608" s="709"/>
      <c r="D5608" s="709"/>
      <c r="E5608" s="709"/>
      <c r="F5608" s="709"/>
      <c r="G5608" s="709"/>
      <c r="H5608" s="709"/>
    </row>
    <row r="5609" spans="1:8" ht="15.75">
      <c r="A5609" s="608" t="s">
        <v>74</v>
      </c>
      <c r="B5609" s="609" t="s">
        <v>625</v>
      </c>
      <c r="C5609" s="610" t="s">
        <v>379</v>
      </c>
      <c r="D5609" s="610" t="s">
        <v>379</v>
      </c>
      <c r="E5609" s="610" t="s">
        <v>379</v>
      </c>
      <c r="F5609" s="610" t="s">
        <v>379</v>
      </c>
      <c r="G5609" s="610" t="s">
        <v>379</v>
      </c>
      <c r="H5609" s="611" t="s">
        <v>626</v>
      </c>
    </row>
    <row r="5610" spans="1:8" ht="15.75">
      <c r="A5610" s="608" t="s">
        <v>313</v>
      </c>
      <c r="B5610" s="609" t="s">
        <v>627</v>
      </c>
      <c r="C5610" s="610" t="s">
        <v>379</v>
      </c>
      <c r="D5610" s="610" t="s">
        <v>379</v>
      </c>
      <c r="E5610" s="610" t="s">
        <v>379</v>
      </c>
      <c r="F5610" s="610" t="s">
        <v>379</v>
      </c>
      <c r="G5610" s="610" t="s">
        <v>379</v>
      </c>
      <c r="H5610" s="611" t="s">
        <v>626</v>
      </c>
    </row>
    <row r="5611" spans="1:8" ht="31.5">
      <c r="A5611" s="608" t="s">
        <v>315</v>
      </c>
      <c r="B5611" s="612" t="s">
        <v>628</v>
      </c>
      <c r="C5611" s="610" t="s">
        <v>778</v>
      </c>
      <c r="D5611" s="610" t="s">
        <v>680</v>
      </c>
      <c r="E5611" s="610" t="s">
        <v>379</v>
      </c>
      <c r="F5611" s="610" t="s">
        <v>379</v>
      </c>
      <c r="G5611" s="614">
        <v>0</v>
      </c>
      <c r="H5611" s="611"/>
    </row>
    <row r="5612" spans="1:8" ht="47.25">
      <c r="A5612" s="608" t="s">
        <v>317</v>
      </c>
      <c r="B5612" s="612" t="s">
        <v>629</v>
      </c>
      <c r="C5612" s="610" t="s">
        <v>379</v>
      </c>
      <c r="D5612" s="610" t="s">
        <v>379</v>
      </c>
      <c r="E5612" s="610" t="s">
        <v>379</v>
      </c>
      <c r="F5612" s="610" t="s">
        <v>379</v>
      </c>
      <c r="G5612" s="610" t="s">
        <v>379</v>
      </c>
      <c r="H5612" s="611" t="s">
        <v>626</v>
      </c>
    </row>
    <row r="5613" spans="1:8" ht="15.75">
      <c r="A5613" s="608" t="s">
        <v>630</v>
      </c>
      <c r="B5613" s="613" t="s">
        <v>631</v>
      </c>
      <c r="C5613" s="610" t="s">
        <v>681</v>
      </c>
      <c r="D5613" s="610" t="s">
        <v>677</v>
      </c>
      <c r="E5613" s="610" t="s">
        <v>379</v>
      </c>
      <c r="F5613" s="610" t="s">
        <v>379</v>
      </c>
      <c r="G5613" s="614">
        <v>0</v>
      </c>
      <c r="H5613" s="611"/>
    </row>
    <row r="5614" spans="1:8" ht="15.75">
      <c r="A5614" s="608" t="s">
        <v>632</v>
      </c>
      <c r="B5614" s="613" t="s">
        <v>633</v>
      </c>
      <c r="C5614" s="610" t="s">
        <v>379</v>
      </c>
      <c r="D5614" s="610" t="s">
        <v>379</v>
      </c>
      <c r="E5614" s="610" t="s">
        <v>379</v>
      </c>
      <c r="F5614" s="610" t="s">
        <v>379</v>
      </c>
      <c r="G5614" s="610" t="s">
        <v>379</v>
      </c>
      <c r="H5614" s="611" t="s">
        <v>626</v>
      </c>
    </row>
    <row r="5615" spans="1:8" ht="12.75" customHeight="1">
      <c r="A5615" s="608">
        <v>2</v>
      </c>
      <c r="B5615" s="706" t="s">
        <v>634</v>
      </c>
      <c r="C5615" s="706"/>
      <c r="D5615" s="706"/>
      <c r="E5615" s="706"/>
      <c r="F5615" s="706"/>
      <c r="G5615" s="706"/>
      <c r="H5615" s="706"/>
    </row>
    <row r="5616" spans="1:8" ht="31.5">
      <c r="A5616" s="608" t="s">
        <v>321</v>
      </c>
      <c r="B5616" s="612" t="s">
        <v>635</v>
      </c>
      <c r="C5616" s="610" t="s">
        <v>379</v>
      </c>
      <c r="D5616" s="610" t="s">
        <v>379</v>
      </c>
      <c r="E5616" s="610" t="s">
        <v>379</v>
      </c>
      <c r="F5616" s="610" t="s">
        <v>379</v>
      </c>
      <c r="G5616" s="610" t="s">
        <v>379</v>
      </c>
      <c r="H5616" s="611" t="s">
        <v>626</v>
      </c>
    </row>
    <row r="5617" spans="1:8" ht="47.25">
      <c r="A5617" s="608" t="s">
        <v>325</v>
      </c>
      <c r="B5617" s="612" t="s">
        <v>638</v>
      </c>
      <c r="C5617" s="610" t="s">
        <v>379</v>
      </c>
      <c r="D5617" s="610" t="s">
        <v>379</v>
      </c>
      <c r="E5617" s="610" t="s">
        <v>379</v>
      </c>
      <c r="F5617" s="610" t="s">
        <v>379</v>
      </c>
      <c r="G5617" s="610" t="s">
        <v>379</v>
      </c>
      <c r="H5617" s="611" t="s">
        <v>626</v>
      </c>
    </row>
    <row r="5618" spans="1:8" ht="31.5">
      <c r="A5618" s="608" t="s">
        <v>639</v>
      </c>
      <c r="B5618" s="612" t="s">
        <v>640</v>
      </c>
      <c r="C5618" s="610" t="s">
        <v>379</v>
      </c>
      <c r="D5618" s="610" t="s">
        <v>379</v>
      </c>
      <c r="E5618" s="610" t="s">
        <v>379</v>
      </c>
      <c r="F5618" s="610" t="s">
        <v>379</v>
      </c>
      <c r="G5618" s="610" t="s">
        <v>379</v>
      </c>
      <c r="H5618" s="611" t="s">
        <v>626</v>
      </c>
    </row>
    <row r="5619" spans="1:8" ht="12.75" customHeight="1">
      <c r="A5619" s="608">
        <v>3</v>
      </c>
      <c r="B5619" s="706" t="s">
        <v>641</v>
      </c>
      <c r="C5619" s="706"/>
      <c r="D5619" s="706"/>
      <c r="E5619" s="706"/>
      <c r="F5619" s="706"/>
      <c r="G5619" s="706"/>
      <c r="H5619" s="706"/>
    </row>
    <row r="5620" spans="1:8" ht="31.5">
      <c r="A5620" s="608" t="s">
        <v>378</v>
      </c>
      <c r="B5620" s="613" t="s">
        <v>642</v>
      </c>
      <c r="C5620" s="610" t="s">
        <v>379</v>
      </c>
      <c r="D5620" s="610" t="s">
        <v>379</v>
      </c>
      <c r="E5620" s="610" t="s">
        <v>379</v>
      </c>
      <c r="F5620" s="610" t="s">
        <v>379</v>
      </c>
      <c r="G5620" s="610" t="s">
        <v>379</v>
      </c>
      <c r="H5620" s="611" t="s">
        <v>626</v>
      </c>
    </row>
    <row r="5621" spans="1:8" ht="15.75">
      <c r="A5621" s="608" t="s">
        <v>643</v>
      </c>
      <c r="B5621" s="613" t="s">
        <v>644</v>
      </c>
      <c r="C5621" s="610" t="s">
        <v>379</v>
      </c>
      <c r="D5621" s="610" t="s">
        <v>379</v>
      </c>
      <c r="E5621" s="610" t="s">
        <v>379</v>
      </c>
      <c r="F5621" s="610" t="s">
        <v>379</v>
      </c>
      <c r="G5621" s="610" t="s">
        <v>379</v>
      </c>
      <c r="H5621" s="611"/>
    </row>
    <row r="5622" spans="1:8" ht="15.75">
      <c r="A5622" s="608" t="s">
        <v>380</v>
      </c>
      <c r="B5622" s="613" t="s">
        <v>646</v>
      </c>
      <c r="C5622" s="610" t="s">
        <v>379</v>
      </c>
      <c r="D5622" s="610" t="s">
        <v>379</v>
      </c>
      <c r="E5622" s="610" t="s">
        <v>379</v>
      </c>
      <c r="F5622" s="610" t="s">
        <v>379</v>
      </c>
      <c r="G5622" s="610" t="s">
        <v>379</v>
      </c>
      <c r="H5622" s="611"/>
    </row>
    <row r="5623" spans="1:8" ht="15.75">
      <c r="A5623" s="608" t="s">
        <v>649</v>
      </c>
      <c r="B5623" s="613" t="s">
        <v>650</v>
      </c>
      <c r="C5623" s="610" t="s">
        <v>379</v>
      </c>
      <c r="D5623" s="610" t="s">
        <v>379</v>
      </c>
      <c r="E5623" s="610" t="s">
        <v>379</v>
      </c>
      <c r="F5623" s="610" t="s">
        <v>379</v>
      </c>
      <c r="G5623" s="610" t="s">
        <v>379</v>
      </c>
      <c r="H5623" s="611"/>
    </row>
    <row r="5624" spans="1:8" ht="15.75">
      <c r="A5624" s="608" t="s">
        <v>653</v>
      </c>
      <c r="B5624" s="613" t="s">
        <v>654</v>
      </c>
      <c r="C5624" s="610" t="s">
        <v>379</v>
      </c>
      <c r="D5624" s="610" t="s">
        <v>379</v>
      </c>
      <c r="E5624" s="610" t="s">
        <v>379</v>
      </c>
      <c r="F5624" s="610" t="s">
        <v>379</v>
      </c>
      <c r="G5624" s="610" t="s">
        <v>379</v>
      </c>
      <c r="H5624" s="611"/>
    </row>
    <row r="5625" spans="1:8" ht="12.75" customHeight="1">
      <c r="A5625" s="608">
        <v>4</v>
      </c>
      <c r="B5625" s="706" t="s">
        <v>656</v>
      </c>
      <c r="C5625" s="706"/>
      <c r="D5625" s="706"/>
      <c r="E5625" s="706"/>
      <c r="F5625" s="706"/>
      <c r="G5625" s="706"/>
      <c r="H5625" s="706"/>
    </row>
    <row r="5626" spans="1:8" ht="31.5">
      <c r="A5626" s="608" t="s">
        <v>657</v>
      </c>
      <c r="B5626" s="612" t="s">
        <v>658</v>
      </c>
      <c r="C5626" s="610" t="s">
        <v>379</v>
      </c>
      <c r="D5626" s="610" t="s">
        <v>379</v>
      </c>
      <c r="E5626" s="610" t="s">
        <v>379</v>
      </c>
      <c r="F5626" s="610" t="s">
        <v>379</v>
      </c>
      <c r="G5626" s="610" t="s">
        <v>379</v>
      </c>
      <c r="H5626" s="611" t="s">
        <v>626</v>
      </c>
    </row>
    <row r="5627" spans="1:8" ht="47.25">
      <c r="A5627" s="608" t="s">
        <v>659</v>
      </c>
      <c r="B5627" s="612" t="s">
        <v>660</v>
      </c>
      <c r="C5627" s="610" t="s">
        <v>379</v>
      </c>
      <c r="D5627" s="610" t="s">
        <v>379</v>
      </c>
      <c r="E5627" s="610" t="s">
        <v>379</v>
      </c>
      <c r="F5627" s="610" t="s">
        <v>379</v>
      </c>
      <c r="G5627" s="610" t="s">
        <v>379</v>
      </c>
      <c r="H5627" s="611" t="s">
        <v>626</v>
      </c>
    </row>
    <row r="5628" spans="1:8" ht="31.5">
      <c r="A5628" s="608" t="s">
        <v>661</v>
      </c>
      <c r="B5628" s="613" t="s">
        <v>662</v>
      </c>
      <c r="C5628" s="610" t="s">
        <v>379</v>
      </c>
      <c r="D5628" s="610" t="s">
        <v>379</v>
      </c>
      <c r="E5628" s="610" t="s">
        <v>379</v>
      </c>
      <c r="F5628" s="610" t="s">
        <v>379</v>
      </c>
      <c r="G5628" s="610" t="s">
        <v>379</v>
      </c>
      <c r="H5628" s="611" t="s">
        <v>626</v>
      </c>
    </row>
    <row r="5629" spans="1:8" ht="31.5">
      <c r="A5629" s="615" t="s">
        <v>663</v>
      </c>
      <c r="B5629" s="616" t="s">
        <v>664</v>
      </c>
      <c r="C5629" s="610" t="s">
        <v>379</v>
      </c>
      <c r="D5629" s="610" t="s">
        <v>379</v>
      </c>
      <c r="E5629" s="610" t="s">
        <v>379</v>
      </c>
      <c r="F5629" s="610" t="s">
        <v>379</v>
      </c>
      <c r="G5629" s="610" t="s">
        <v>379</v>
      </c>
      <c r="H5629" s="618" t="s">
        <v>626</v>
      </c>
    </row>
    <row r="5630" spans="1:8" ht="15.75">
      <c r="A5630" s="619"/>
      <c r="B5630" s="620"/>
      <c r="C5630" s="621"/>
      <c r="D5630" s="621"/>
      <c r="E5630" s="621"/>
      <c r="F5630" s="621"/>
      <c r="G5630" s="621"/>
      <c r="H5630" s="148"/>
    </row>
    <row r="5631" ht="15.75">
      <c r="H5631" s="11" t="s">
        <v>609</v>
      </c>
    </row>
    <row r="5632" ht="15.75">
      <c r="H5632" s="11" t="s">
        <v>610</v>
      </c>
    </row>
    <row r="5633" ht="15.75">
      <c r="H5633" s="11" t="s">
        <v>611</v>
      </c>
    </row>
    <row r="5634" ht="15.75">
      <c r="H5634" s="11"/>
    </row>
    <row r="5635" spans="1:8" ht="12.75" customHeight="1">
      <c r="A5635" s="713" t="s">
        <v>612</v>
      </c>
      <c r="B5635" s="713"/>
      <c r="C5635" s="713"/>
      <c r="D5635" s="713"/>
      <c r="E5635" s="713"/>
      <c r="F5635" s="713"/>
      <c r="G5635" s="713"/>
      <c r="H5635" s="713"/>
    </row>
    <row r="5636" spans="1:8" ht="12.75" customHeight="1">
      <c r="A5636" s="713" t="s">
        <v>613</v>
      </c>
      <c r="B5636" s="713"/>
      <c r="C5636" s="713"/>
      <c r="D5636" s="713"/>
      <c r="E5636" s="713"/>
      <c r="F5636" s="713"/>
      <c r="G5636" s="713"/>
      <c r="H5636" s="713"/>
    </row>
    <row r="5637" ht="15.75">
      <c r="H5637" s="11" t="s">
        <v>43</v>
      </c>
    </row>
    <row r="5638" ht="15.75">
      <c r="H5638" s="11" t="s">
        <v>44</v>
      </c>
    </row>
    <row r="5639" ht="15.75">
      <c r="H5639" s="11" t="s">
        <v>45</v>
      </c>
    </row>
    <row r="5640" ht="15.75">
      <c r="H5640" s="594" t="s">
        <v>614</v>
      </c>
    </row>
    <row r="5641" ht="15.75">
      <c r="H5641" s="11" t="s">
        <v>615</v>
      </c>
    </row>
    <row r="5642" ht="15.75">
      <c r="H5642" s="11" t="s">
        <v>47</v>
      </c>
    </row>
    <row r="5643" ht="15.75">
      <c r="A5643" s="595"/>
    </row>
    <row r="5644" ht="15.75">
      <c r="A5644" s="3" t="s">
        <v>928</v>
      </c>
    </row>
    <row r="5645" spans="1:8" ht="12.75" customHeight="1">
      <c r="A5645" s="717" t="s">
        <v>0</v>
      </c>
      <c r="B5645" s="714"/>
      <c r="C5645" s="714"/>
      <c r="D5645" s="714"/>
      <c r="E5645" s="714"/>
      <c r="F5645" s="714"/>
      <c r="G5645" s="714"/>
      <c r="H5645" s="714"/>
    </row>
    <row r="5646" spans="1:8" ht="16.5" thickBot="1">
      <c r="A5646" s="597"/>
      <c r="B5646" s="597"/>
      <c r="C5646" s="598"/>
      <c r="D5646" s="598"/>
      <c r="E5646" s="598"/>
      <c r="F5646" s="598"/>
      <c r="G5646" s="598"/>
      <c r="H5646" s="598"/>
    </row>
    <row r="5647" spans="1:8" ht="12.75" customHeight="1">
      <c r="A5647" s="708" t="s">
        <v>617</v>
      </c>
      <c r="B5647" s="710" t="s">
        <v>618</v>
      </c>
      <c r="C5647" s="711" t="s">
        <v>619</v>
      </c>
      <c r="D5647" s="711"/>
      <c r="E5647" s="711"/>
      <c r="F5647" s="711"/>
      <c r="G5647" s="712" t="s">
        <v>620</v>
      </c>
      <c r="H5647" s="708" t="s">
        <v>621</v>
      </c>
    </row>
    <row r="5648" spans="1:8" ht="15.75">
      <c r="A5648" s="708"/>
      <c r="B5648" s="710"/>
      <c r="C5648" s="711"/>
      <c r="D5648" s="711"/>
      <c r="E5648" s="711"/>
      <c r="F5648" s="711"/>
      <c r="G5648" s="712"/>
      <c r="H5648" s="708"/>
    </row>
    <row r="5649" spans="1:8" ht="31.5">
      <c r="A5649" s="708"/>
      <c r="B5649" s="710"/>
      <c r="C5649" s="601" t="s">
        <v>622</v>
      </c>
      <c r="D5649" s="601" t="s">
        <v>623</v>
      </c>
      <c r="E5649" s="602" t="s">
        <v>622</v>
      </c>
      <c r="F5649" s="603" t="s">
        <v>623</v>
      </c>
      <c r="G5649" s="712"/>
      <c r="H5649" s="708"/>
    </row>
    <row r="5650" spans="1:8" ht="15.75">
      <c r="A5650" s="599">
        <v>1</v>
      </c>
      <c r="B5650" s="599">
        <v>2</v>
      </c>
      <c r="C5650" s="604">
        <v>3</v>
      </c>
      <c r="D5650" s="604">
        <v>4</v>
      </c>
      <c r="E5650" s="605"/>
      <c r="F5650" s="606"/>
      <c r="G5650" s="600">
        <v>5</v>
      </c>
      <c r="H5650" s="599">
        <v>6</v>
      </c>
    </row>
    <row r="5651" spans="1:8" ht="12.75" customHeight="1">
      <c r="A5651" s="607">
        <v>1</v>
      </c>
      <c r="B5651" s="709" t="s">
        <v>624</v>
      </c>
      <c r="C5651" s="709"/>
      <c r="D5651" s="709"/>
      <c r="E5651" s="709"/>
      <c r="F5651" s="709"/>
      <c r="G5651" s="709"/>
      <c r="H5651" s="709"/>
    </row>
    <row r="5652" spans="1:8" ht="15.75">
      <c r="A5652" s="608" t="s">
        <v>74</v>
      </c>
      <c r="B5652" s="609" t="s">
        <v>625</v>
      </c>
      <c r="C5652" s="610" t="s">
        <v>379</v>
      </c>
      <c r="D5652" s="610" t="s">
        <v>379</v>
      </c>
      <c r="E5652" s="610" t="s">
        <v>379</v>
      </c>
      <c r="F5652" s="610" t="s">
        <v>379</v>
      </c>
      <c r="G5652" s="610" t="s">
        <v>379</v>
      </c>
      <c r="H5652" s="611" t="s">
        <v>626</v>
      </c>
    </row>
    <row r="5653" spans="1:8" ht="15.75">
      <c r="A5653" s="608" t="s">
        <v>313</v>
      </c>
      <c r="B5653" s="609" t="s">
        <v>627</v>
      </c>
      <c r="C5653" s="610" t="s">
        <v>379</v>
      </c>
      <c r="D5653" s="610" t="s">
        <v>379</v>
      </c>
      <c r="E5653" s="610" t="s">
        <v>379</v>
      </c>
      <c r="F5653" s="610" t="s">
        <v>379</v>
      </c>
      <c r="G5653" s="610" t="s">
        <v>379</v>
      </c>
      <c r="H5653" s="611" t="s">
        <v>626</v>
      </c>
    </row>
    <row r="5654" spans="1:8" ht="31.5">
      <c r="A5654" s="608" t="s">
        <v>315</v>
      </c>
      <c r="B5654" s="612" t="s">
        <v>628</v>
      </c>
      <c r="C5654" s="610" t="s">
        <v>778</v>
      </c>
      <c r="D5654" s="610" t="s">
        <v>680</v>
      </c>
      <c r="E5654" s="610" t="s">
        <v>379</v>
      </c>
      <c r="F5654" s="610" t="s">
        <v>379</v>
      </c>
      <c r="G5654" s="614">
        <v>0</v>
      </c>
      <c r="H5654" s="611"/>
    </row>
    <row r="5655" spans="1:8" ht="47.25">
      <c r="A5655" s="608" t="s">
        <v>317</v>
      </c>
      <c r="B5655" s="612" t="s">
        <v>629</v>
      </c>
      <c r="C5655" s="610" t="s">
        <v>379</v>
      </c>
      <c r="D5655" s="610" t="s">
        <v>379</v>
      </c>
      <c r="E5655" s="610" t="s">
        <v>379</v>
      </c>
      <c r="F5655" s="610" t="s">
        <v>379</v>
      </c>
      <c r="G5655" s="610" t="s">
        <v>379</v>
      </c>
      <c r="H5655" s="611" t="s">
        <v>626</v>
      </c>
    </row>
    <row r="5656" spans="1:8" ht="15.75">
      <c r="A5656" s="608" t="s">
        <v>630</v>
      </c>
      <c r="B5656" s="613" t="s">
        <v>631</v>
      </c>
      <c r="C5656" s="610" t="s">
        <v>681</v>
      </c>
      <c r="D5656" s="610" t="s">
        <v>677</v>
      </c>
      <c r="E5656" s="610" t="s">
        <v>379</v>
      </c>
      <c r="F5656" s="610" t="s">
        <v>379</v>
      </c>
      <c r="G5656" s="614">
        <v>0</v>
      </c>
      <c r="H5656" s="611"/>
    </row>
    <row r="5657" spans="1:8" ht="15.75">
      <c r="A5657" s="608" t="s">
        <v>632</v>
      </c>
      <c r="B5657" s="613" t="s">
        <v>633</v>
      </c>
      <c r="C5657" s="610" t="s">
        <v>379</v>
      </c>
      <c r="D5657" s="610" t="s">
        <v>379</v>
      </c>
      <c r="E5657" s="610" t="s">
        <v>379</v>
      </c>
      <c r="F5657" s="610" t="s">
        <v>379</v>
      </c>
      <c r="G5657" s="610" t="s">
        <v>379</v>
      </c>
      <c r="H5657" s="611" t="s">
        <v>626</v>
      </c>
    </row>
    <row r="5658" spans="1:8" ht="12.75" customHeight="1">
      <c r="A5658" s="608">
        <v>2</v>
      </c>
      <c r="B5658" s="706" t="s">
        <v>634</v>
      </c>
      <c r="C5658" s="706"/>
      <c r="D5658" s="706"/>
      <c r="E5658" s="706"/>
      <c r="F5658" s="706"/>
      <c r="G5658" s="706"/>
      <c r="H5658" s="706"/>
    </row>
    <row r="5659" spans="1:8" ht="31.5">
      <c r="A5659" s="608" t="s">
        <v>321</v>
      </c>
      <c r="B5659" s="612" t="s">
        <v>635</v>
      </c>
      <c r="C5659" s="610" t="s">
        <v>778</v>
      </c>
      <c r="D5659" s="610" t="s">
        <v>824</v>
      </c>
      <c r="E5659" s="610" t="s">
        <v>379</v>
      </c>
      <c r="F5659" s="610" t="s">
        <v>379</v>
      </c>
      <c r="G5659" s="614">
        <v>0</v>
      </c>
      <c r="H5659" s="611"/>
    </row>
    <row r="5660" spans="1:8" ht="47.25">
      <c r="A5660" s="608" t="s">
        <v>325</v>
      </c>
      <c r="B5660" s="612" t="s">
        <v>638</v>
      </c>
      <c r="C5660" s="610" t="s">
        <v>379</v>
      </c>
      <c r="D5660" s="610" t="s">
        <v>379</v>
      </c>
      <c r="E5660" s="610" t="s">
        <v>379</v>
      </c>
      <c r="F5660" s="610" t="s">
        <v>379</v>
      </c>
      <c r="G5660" s="610" t="s">
        <v>379</v>
      </c>
      <c r="H5660" s="611" t="s">
        <v>626</v>
      </c>
    </row>
    <row r="5661" spans="1:8" ht="31.5">
      <c r="A5661" s="608" t="s">
        <v>639</v>
      </c>
      <c r="B5661" s="612" t="s">
        <v>640</v>
      </c>
      <c r="C5661" s="610" t="s">
        <v>379</v>
      </c>
      <c r="D5661" s="610" t="s">
        <v>379</v>
      </c>
      <c r="E5661" s="610" t="s">
        <v>379</v>
      </c>
      <c r="F5661" s="610" t="s">
        <v>379</v>
      </c>
      <c r="G5661" s="610" t="s">
        <v>379</v>
      </c>
      <c r="H5661" s="611" t="s">
        <v>626</v>
      </c>
    </row>
    <row r="5662" spans="1:8" ht="12.75" customHeight="1">
      <c r="A5662" s="608">
        <v>3</v>
      </c>
      <c r="B5662" s="706" t="s">
        <v>641</v>
      </c>
      <c r="C5662" s="706"/>
      <c r="D5662" s="706"/>
      <c r="E5662" s="706"/>
      <c r="F5662" s="706"/>
      <c r="G5662" s="706"/>
      <c r="H5662" s="706"/>
    </row>
    <row r="5663" spans="1:8" ht="31.5">
      <c r="A5663" s="608" t="s">
        <v>378</v>
      </c>
      <c r="B5663" s="613" t="s">
        <v>642</v>
      </c>
      <c r="C5663" s="610" t="s">
        <v>379</v>
      </c>
      <c r="D5663" s="610" t="s">
        <v>379</v>
      </c>
      <c r="E5663" s="610" t="s">
        <v>379</v>
      </c>
      <c r="F5663" s="610" t="s">
        <v>379</v>
      </c>
      <c r="G5663" s="610" t="s">
        <v>379</v>
      </c>
      <c r="H5663" s="611" t="s">
        <v>626</v>
      </c>
    </row>
    <row r="5664" spans="1:8" ht="15.75">
      <c r="A5664" s="608" t="s">
        <v>643</v>
      </c>
      <c r="B5664" s="613" t="s">
        <v>644</v>
      </c>
      <c r="C5664" s="610" t="s">
        <v>929</v>
      </c>
      <c r="D5664" s="610" t="s">
        <v>670</v>
      </c>
      <c r="E5664" s="610" t="s">
        <v>379</v>
      </c>
      <c r="F5664" s="610" t="s">
        <v>379</v>
      </c>
      <c r="G5664" s="614">
        <v>0</v>
      </c>
      <c r="H5664" s="611"/>
    </row>
    <row r="5665" spans="1:8" ht="15.75">
      <c r="A5665" s="608" t="s">
        <v>380</v>
      </c>
      <c r="B5665" s="613" t="s">
        <v>646</v>
      </c>
      <c r="C5665" s="610" t="s">
        <v>710</v>
      </c>
      <c r="D5665" s="610" t="s">
        <v>930</v>
      </c>
      <c r="E5665" s="610" t="s">
        <v>379</v>
      </c>
      <c r="F5665" s="610" t="s">
        <v>379</v>
      </c>
      <c r="G5665" s="614">
        <v>0</v>
      </c>
      <c r="H5665" s="611"/>
    </row>
    <row r="5666" spans="1:8" ht="15.75">
      <c r="A5666" s="608" t="s">
        <v>649</v>
      </c>
      <c r="B5666" s="613" t="s">
        <v>650</v>
      </c>
      <c r="C5666" s="610" t="s">
        <v>931</v>
      </c>
      <c r="D5666" s="610" t="s">
        <v>932</v>
      </c>
      <c r="E5666" s="610" t="s">
        <v>379</v>
      </c>
      <c r="F5666" s="610" t="s">
        <v>379</v>
      </c>
      <c r="G5666" s="614">
        <v>0</v>
      </c>
      <c r="H5666" s="611"/>
    </row>
    <row r="5667" spans="1:8" ht="15.75">
      <c r="A5667" s="608" t="s">
        <v>653</v>
      </c>
      <c r="B5667" s="613" t="s">
        <v>654</v>
      </c>
      <c r="C5667" s="610" t="s">
        <v>933</v>
      </c>
      <c r="D5667" s="610" t="s">
        <v>934</v>
      </c>
      <c r="E5667" s="610" t="s">
        <v>379</v>
      </c>
      <c r="F5667" s="610" t="s">
        <v>379</v>
      </c>
      <c r="G5667" s="614">
        <v>0</v>
      </c>
      <c r="H5667" s="611"/>
    </row>
    <row r="5668" spans="1:8" ht="12.75" customHeight="1">
      <c r="A5668" s="608">
        <v>4</v>
      </c>
      <c r="B5668" s="706" t="s">
        <v>656</v>
      </c>
      <c r="C5668" s="706"/>
      <c r="D5668" s="706"/>
      <c r="E5668" s="706"/>
      <c r="F5668" s="706"/>
      <c r="G5668" s="706"/>
      <c r="H5668" s="706"/>
    </row>
    <row r="5669" spans="1:8" ht="31.5">
      <c r="A5669" s="608" t="s">
        <v>657</v>
      </c>
      <c r="B5669" s="612" t="s">
        <v>658</v>
      </c>
      <c r="C5669" s="610" t="s">
        <v>379</v>
      </c>
      <c r="D5669" s="610" t="s">
        <v>379</v>
      </c>
      <c r="E5669" s="610" t="s">
        <v>379</v>
      </c>
      <c r="F5669" s="610" t="s">
        <v>379</v>
      </c>
      <c r="G5669" s="610" t="s">
        <v>379</v>
      </c>
      <c r="H5669" s="611" t="s">
        <v>626</v>
      </c>
    </row>
    <row r="5670" spans="1:8" ht="47.25">
      <c r="A5670" s="608" t="s">
        <v>659</v>
      </c>
      <c r="B5670" s="612" t="s">
        <v>660</v>
      </c>
      <c r="C5670" s="610" t="s">
        <v>379</v>
      </c>
      <c r="D5670" s="610" t="s">
        <v>379</v>
      </c>
      <c r="E5670" s="610" t="s">
        <v>379</v>
      </c>
      <c r="F5670" s="610" t="s">
        <v>379</v>
      </c>
      <c r="G5670" s="610" t="s">
        <v>379</v>
      </c>
      <c r="H5670" s="611" t="s">
        <v>626</v>
      </c>
    </row>
    <row r="5671" spans="1:8" ht="31.5">
      <c r="A5671" s="608" t="s">
        <v>661</v>
      </c>
      <c r="B5671" s="613" t="s">
        <v>662</v>
      </c>
      <c r="C5671" s="610" t="s">
        <v>935</v>
      </c>
      <c r="D5671" s="610" t="s">
        <v>711</v>
      </c>
      <c r="E5671" s="610" t="s">
        <v>379</v>
      </c>
      <c r="F5671" s="610" t="s">
        <v>379</v>
      </c>
      <c r="G5671" s="614">
        <v>0</v>
      </c>
      <c r="H5671" s="611"/>
    </row>
    <row r="5672" spans="1:8" ht="31.5">
      <c r="A5672" s="615" t="s">
        <v>663</v>
      </c>
      <c r="B5672" s="616" t="s">
        <v>664</v>
      </c>
      <c r="C5672" s="617" t="s">
        <v>711</v>
      </c>
      <c r="D5672" s="617" t="s">
        <v>1</v>
      </c>
      <c r="E5672" s="617" t="s">
        <v>379</v>
      </c>
      <c r="F5672" s="617" t="s">
        <v>379</v>
      </c>
      <c r="G5672" s="623">
        <v>0</v>
      </c>
      <c r="H5672" s="618"/>
    </row>
    <row r="5673" spans="1:8" ht="15.75">
      <c r="A5673" s="619"/>
      <c r="B5673" s="620"/>
      <c r="C5673" s="621"/>
      <c r="D5673" s="621"/>
      <c r="E5673" s="621"/>
      <c r="F5673" s="621"/>
      <c r="G5673" s="621"/>
      <c r="H5673" s="148"/>
    </row>
    <row r="5674" spans="1:8" ht="12.75" customHeight="1">
      <c r="A5674" s="707" t="s">
        <v>665</v>
      </c>
      <c r="B5674" s="707"/>
      <c r="C5674" s="707"/>
      <c r="D5674" s="707"/>
      <c r="E5674" s="707"/>
      <c r="F5674" s="707"/>
      <c r="G5674" s="707"/>
      <c r="H5674" s="707"/>
    </row>
    <row r="5675" spans="1:8" ht="15.75">
      <c r="A5675" s="622"/>
      <c r="B5675" s="622"/>
      <c r="C5675" s="622"/>
      <c r="D5675" s="622"/>
      <c r="E5675" s="622"/>
      <c r="F5675" s="622"/>
      <c r="G5675" s="622"/>
      <c r="H5675" s="622"/>
    </row>
    <row r="5676" spans="1:8" ht="15.75">
      <c r="A5676" s="622"/>
      <c r="B5676" s="622"/>
      <c r="C5676" s="622"/>
      <c r="D5676" s="622"/>
      <c r="E5676" s="622"/>
      <c r="F5676" s="622"/>
      <c r="G5676" s="622"/>
      <c r="H5676" s="622"/>
    </row>
    <row r="5677" spans="1:8" ht="15.75">
      <c r="A5677" s="622"/>
      <c r="B5677" s="622"/>
      <c r="C5677" s="622"/>
      <c r="D5677" s="622"/>
      <c r="E5677" s="622"/>
      <c r="F5677" s="622"/>
      <c r="G5677" s="622"/>
      <c r="H5677" s="622"/>
    </row>
    <row r="5678" spans="1:8" ht="15.75">
      <c r="A5678" s="622"/>
      <c r="B5678" s="622"/>
      <c r="C5678" s="622"/>
      <c r="D5678" s="622"/>
      <c r="E5678" s="622"/>
      <c r="F5678" s="622"/>
      <c r="G5678" s="622"/>
      <c r="H5678" s="622"/>
    </row>
    <row r="5679" ht="15.75">
      <c r="H5679" s="11" t="s">
        <v>609</v>
      </c>
    </row>
    <row r="5680" ht="15.75">
      <c r="H5680" s="11" t="s">
        <v>610</v>
      </c>
    </row>
    <row r="5681" ht="15.75">
      <c r="H5681" s="11" t="s">
        <v>611</v>
      </c>
    </row>
    <row r="5682" ht="15.75">
      <c r="H5682" s="11"/>
    </row>
    <row r="5683" spans="1:8" ht="12.75" customHeight="1">
      <c r="A5683" s="713" t="s">
        <v>612</v>
      </c>
      <c r="B5683" s="713"/>
      <c r="C5683" s="713"/>
      <c r="D5683" s="713"/>
      <c r="E5683" s="713"/>
      <c r="F5683" s="713"/>
      <c r="G5683" s="713"/>
      <c r="H5683" s="713"/>
    </row>
    <row r="5684" spans="1:8" ht="12.75" customHeight="1">
      <c r="A5684" s="713" t="s">
        <v>613</v>
      </c>
      <c r="B5684" s="713"/>
      <c r="C5684" s="713"/>
      <c r="D5684" s="713"/>
      <c r="E5684" s="713"/>
      <c r="F5684" s="713"/>
      <c r="G5684" s="713"/>
      <c r="H5684" s="713"/>
    </row>
    <row r="5685" ht="15.75">
      <c r="H5685" s="11" t="s">
        <v>43</v>
      </c>
    </row>
    <row r="5686" ht="15.75">
      <c r="H5686" s="11" t="s">
        <v>44</v>
      </c>
    </row>
    <row r="5687" ht="15.75">
      <c r="H5687" s="11" t="s">
        <v>45</v>
      </c>
    </row>
    <row r="5688" ht="15.75">
      <c r="H5688" s="594" t="s">
        <v>614</v>
      </c>
    </row>
    <row r="5689" ht="15.75">
      <c r="H5689" s="11" t="s">
        <v>615</v>
      </c>
    </row>
    <row r="5690" ht="15.75">
      <c r="H5690" s="11" t="s">
        <v>47</v>
      </c>
    </row>
    <row r="5691" ht="15.75">
      <c r="A5691" s="595"/>
    </row>
    <row r="5692" ht="15.75">
      <c r="A5692" s="3" t="s">
        <v>2</v>
      </c>
    </row>
    <row r="5693" spans="1:8" ht="12.75" customHeight="1">
      <c r="A5693" s="717" t="s">
        <v>0</v>
      </c>
      <c r="B5693" s="714"/>
      <c r="C5693" s="714"/>
      <c r="D5693" s="714"/>
      <c r="E5693" s="714"/>
      <c r="F5693" s="714"/>
      <c r="G5693" s="714"/>
      <c r="H5693" s="714"/>
    </row>
    <row r="5694" spans="1:8" ht="16.5" thickBot="1">
      <c r="A5694" s="597"/>
      <c r="B5694" s="597"/>
      <c r="C5694" s="598"/>
      <c r="D5694" s="598"/>
      <c r="E5694" s="598"/>
      <c r="F5694" s="598"/>
      <c r="G5694" s="598"/>
      <c r="H5694" s="598"/>
    </row>
    <row r="5695" spans="1:8" ht="12.75" customHeight="1">
      <c r="A5695" s="708" t="s">
        <v>617</v>
      </c>
      <c r="B5695" s="710" t="s">
        <v>618</v>
      </c>
      <c r="C5695" s="711" t="s">
        <v>619</v>
      </c>
      <c r="D5695" s="711"/>
      <c r="E5695" s="711"/>
      <c r="F5695" s="711"/>
      <c r="G5695" s="712" t="s">
        <v>620</v>
      </c>
      <c r="H5695" s="708" t="s">
        <v>621</v>
      </c>
    </row>
    <row r="5696" spans="1:8" ht="15.75">
      <c r="A5696" s="708"/>
      <c r="B5696" s="710"/>
      <c r="C5696" s="711"/>
      <c r="D5696" s="711"/>
      <c r="E5696" s="711"/>
      <c r="F5696" s="711"/>
      <c r="G5696" s="712"/>
      <c r="H5696" s="708"/>
    </row>
    <row r="5697" spans="1:8" ht="31.5">
      <c r="A5697" s="708"/>
      <c r="B5697" s="710"/>
      <c r="C5697" s="601" t="s">
        <v>622</v>
      </c>
      <c r="D5697" s="601" t="s">
        <v>623</v>
      </c>
      <c r="E5697" s="602" t="s">
        <v>622</v>
      </c>
      <c r="F5697" s="603" t="s">
        <v>623</v>
      </c>
      <c r="G5697" s="712"/>
      <c r="H5697" s="708"/>
    </row>
    <row r="5698" spans="1:8" ht="15.75">
      <c r="A5698" s="599">
        <v>1</v>
      </c>
      <c r="B5698" s="599">
        <v>2</v>
      </c>
      <c r="C5698" s="604">
        <v>3</v>
      </c>
      <c r="D5698" s="604">
        <v>4</v>
      </c>
      <c r="E5698" s="605"/>
      <c r="F5698" s="606"/>
      <c r="G5698" s="600">
        <v>5</v>
      </c>
      <c r="H5698" s="599">
        <v>6</v>
      </c>
    </row>
    <row r="5699" spans="1:8" ht="12.75" customHeight="1">
      <c r="A5699" s="607">
        <v>1</v>
      </c>
      <c r="B5699" s="709" t="s">
        <v>624</v>
      </c>
      <c r="C5699" s="709"/>
      <c r="D5699" s="709"/>
      <c r="E5699" s="709"/>
      <c r="F5699" s="709"/>
      <c r="G5699" s="709"/>
      <c r="H5699" s="709"/>
    </row>
    <row r="5700" spans="1:8" ht="15.75">
      <c r="A5700" s="608" t="s">
        <v>74</v>
      </c>
      <c r="B5700" s="609" t="s">
        <v>625</v>
      </c>
      <c r="C5700" s="610" t="s">
        <v>379</v>
      </c>
      <c r="D5700" s="610" t="s">
        <v>379</v>
      </c>
      <c r="E5700" s="610" t="s">
        <v>379</v>
      </c>
      <c r="F5700" s="610" t="s">
        <v>379</v>
      </c>
      <c r="G5700" s="610" t="s">
        <v>379</v>
      </c>
      <c r="H5700" s="611" t="s">
        <v>626</v>
      </c>
    </row>
    <row r="5701" spans="1:8" ht="15.75">
      <c r="A5701" s="608" t="s">
        <v>313</v>
      </c>
      <c r="B5701" s="609" t="s">
        <v>627</v>
      </c>
      <c r="C5701" s="610" t="s">
        <v>379</v>
      </c>
      <c r="D5701" s="610" t="s">
        <v>379</v>
      </c>
      <c r="E5701" s="610" t="s">
        <v>379</v>
      </c>
      <c r="F5701" s="610" t="s">
        <v>379</v>
      </c>
      <c r="G5701" s="610" t="s">
        <v>379</v>
      </c>
      <c r="H5701" s="611" t="s">
        <v>626</v>
      </c>
    </row>
    <row r="5702" spans="1:8" ht="31.5">
      <c r="A5702" s="608" t="s">
        <v>315</v>
      </c>
      <c r="B5702" s="612" t="s">
        <v>628</v>
      </c>
      <c r="C5702" s="610" t="s">
        <v>778</v>
      </c>
      <c r="D5702" s="610" t="s">
        <v>680</v>
      </c>
      <c r="E5702" s="610" t="s">
        <v>379</v>
      </c>
      <c r="F5702" s="610" t="s">
        <v>379</v>
      </c>
      <c r="G5702" s="614">
        <v>0</v>
      </c>
      <c r="H5702" s="611"/>
    </row>
    <row r="5703" spans="1:8" ht="47.25">
      <c r="A5703" s="608" t="s">
        <v>317</v>
      </c>
      <c r="B5703" s="612" t="s">
        <v>629</v>
      </c>
      <c r="C5703" s="610" t="s">
        <v>379</v>
      </c>
      <c r="D5703" s="610" t="s">
        <v>379</v>
      </c>
      <c r="E5703" s="610" t="s">
        <v>379</v>
      </c>
      <c r="F5703" s="610" t="s">
        <v>379</v>
      </c>
      <c r="G5703" s="610" t="s">
        <v>379</v>
      </c>
      <c r="H5703" s="611" t="s">
        <v>626</v>
      </c>
    </row>
    <row r="5704" spans="1:8" ht="15.75">
      <c r="A5704" s="608" t="s">
        <v>630</v>
      </c>
      <c r="B5704" s="613" t="s">
        <v>631</v>
      </c>
      <c r="C5704" s="610" t="s">
        <v>681</v>
      </c>
      <c r="D5704" s="610" t="s">
        <v>677</v>
      </c>
      <c r="E5704" s="610" t="s">
        <v>379</v>
      </c>
      <c r="F5704" s="610" t="s">
        <v>379</v>
      </c>
      <c r="G5704" s="614">
        <v>0</v>
      </c>
      <c r="H5704" s="611"/>
    </row>
    <row r="5705" spans="1:8" ht="15.75">
      <c r="A5705" s="608" t="s">
        <v>632</v>
      </c>
      <c r="B5705" s="613" t="s">
        <v>633</v>
      </c>
      <c r="C5705" s="610" t="s">
        <v>379</v>
      </c>
      <c r="D5705" s="610" t="s">
        <v>379</v>
      </c>
      <c r="E5705" s="610" t="s">
        <v>379</v>
      </c>
      <c r="F5705" s="610" t="s">
        <v>379</v>
      </c>
      <c r="G5705" s="610" t="s">
        <v>379</v>
      </c>
      <c r="H5705" s="611" t="s">
        <v>626</v>
      </c>
    </row>
    <row r="5706" spans="1:8" ht="12.75" customHeight="1">
      <c r="A5706" s="608">
        <v>2</v>
      </c>
      <c r="B5706" s="706" t="s">
        <v>634</v>
      </c>
      <c r="C5706" s="706"/>
      <c r="D5706" s="706"/>
      <c r="E5706" s="706"/>
      <c r="F5706" s="706"/>
      <c r="G5706" s="706"/>
      <c r="H5706" s="706"/>
    </row>
    <row r="5707" spans="1:8" ht="31.5">
      <c r="A5707" s="608" t="s">
        <v>321</v>
      </c>
      <c r="B5707" s="612" t="s">
        <v>635</v>
      </c>
      <c r="C5707" s="610" t="s">
        <v>778</v>
      </c>
      <c r="D5707" s="610" t="s">
        <v>824</v>
      </c>
      <c r="E5707" s="610" t="s">
        <v>379</v>
      </c>
      <c r="F5707" s="610" t="s">
        <v>379</v>
      </c>
      <c r="G5707" s="614">
        <v>0</v>
      </c>
      <c r="H5707" s="611"/>
    </row>
    <row r="5708" spans="1:8" ht="47.25">
      <c r="A5708" s="608" t="s">
        <v>325</v>
      </c>
      <c r="B5708" s="612" t="s">
        <v>638</v>
      </c>
      <c r="C5708" s="610" t="s">
        <v>379</v>
      </c>
      <c r="D5708" s="610" t="s">
        <v>379</v>
      </c>
      <c r="E5708" s="610" t="s">
        <v>379</v>
      </c>
      <c r="F5708" s="610" t="s">
        <v>379</v>
      </c>
      <c r="G5708" s="610" t="s">
        <v>379</v>
      </c>
      <c r="H5708" s="611" t="s">
        <v>626</v>
      </c>
    </row>
    <row r="5709" spans="1:8" ht="31.5">
      <c r="A5709" s="608" t="s">
        <v>639</v>
      </c>
      <c r="B5709" s="612" t="s">
        <v>640</v>
      </c>
      <c r="C5709" s="610" t="s">
        <v>379</v>
      </c>
      <c r="D5709" s="610" t="s">
        <v>379</v>
      </c>
      <c r="E5709" s="610" t="s">
        <v>379</v>
      </c>
      <c r="F5709" s="610" t="s">
        <v>379</v>
      </c>
      <c r="G5709" s="610" t="s">
        <v>379</v>
      </c>
      <c r="H5709" s="611" t="s">
        <v>626</v>
      </c>
    </row>
    <row r="5710" spans="1:8" ht="12.75" customHeight="1">
      <c r="A5710" s="608">
        <v>3</v>
      </c>
      <c r="B5710" s="706" t="s">
        <v>641</v>
      </c>
      <c r="C5710" s="706"/>
      <c r="D5710" s="706"/>
      <c r="E5710" s="706"/>
      <c r="F5710" s="706"/>
      <c r="G5710" s="706"/>
      <c r="H5710" s="706"/>
    </row>
    <row r="5711" spans="1:8" ht="31.5">
      <c r="A5711" s="608" t="s">
        <v>378</v>
      </c>
      <c r="B5711" s="613" t="s">
        <v>642</v>
      </c>
      <c r="C5711" s="610" t="s">
        <v>379</v>
      </c>
      <c r="D5711" s="610" t="s">
        <v>379</v>
      </c>
      <c r="E5711" s="610" t="s">
        <v>379</v>
      </c>
      <c r="F5711" s="610" t="s">
        <v>379</v>
      </c>
      <c r="G5711" s="610" t="s">
        <v>379</v>
      </c>
      <c r="H5711" s="611" t="s">
        <v>626</v>
      </c>
    </row>
    <row r="5712" spans="1:8" ht="15.75">
      <c r="A5712" s="608" t="s">
        <v>643</v>
      </c>
      <c r="B5712" s="613" t="s">
        <v>644</v>
      </c>
      <c r="C5712" s="610" t="s">
        <v>929</v>
      </c>
      <c r="D5712" s="610" t="s">
        <v>670</v>
      </c>
      <c r="E5712" s="610" t="s">
        <v>379</v>
      </c>
      <c r="F5712" s="610" t="s">
        <v>379</v>
      </c>
      <c r="G5712" s="614">
        <v>0</v>
      </c>
      <c r="H5712" s="611"/>
    </row>
    <row r="5713" spans="1:8" ht="15.75">
      <c r="A5713" s="608" t="s">
        <v>380</v>
      </c>
      <c r="B5713" s="613" t="s">
        <v>646</v>
      </c>
      <c r="C5713" s="610" t="s">
        <v>710</v>
      </c>
      <c r="D5713" s="610" t="s">
        <v>930</v>
      </c>
      <c r="E5713" s="610" t="s">
        <v>379</v>
      </c>
      <c r="F5713" s="610" t="s">
        <v>379</v>
      </c>
      <c r="G5713" s="614">
        <v>0</v>
      </c>
      <c r="H5713" s="611"/>
    </row>
    <row r="5714" spans="1:8" ht="15.75">
      <c r="A5714" s="608" t="s">
        <v>649</v>
      </c>
      <c r="B5714" s="613" t="s">
        <v>650</v>
      </c>
      <c r="C5714" s="610" t="s">
        <v>931</v>
      </c>
      <c r="D5714" s="610" t="s">
        <v>932</v>
      </c>
      <c r="E5714" s="610" t="s">
        <v>379</v>
      </c>
      <c r="F5714" s="610" t="s">
        <v>379</v>
      </c>
      <c r="G5714" s="614">
        <v>0</v>
      </c>
      <c r="H5714" s="611"/>
    </row>
    <row r="5715" spans="1:8" ht="15.75">
      <c r="A5715" s="608" t="s">
        <v>653</v>
      </c>
      <c r="B5715" s="613" t="s">
        <v>654</v>
      </c>
      <c r="C5715" s="610" t="s">
        <v>933</v>
      </c>
      <c r="D5715" s="610" t="s">
        <v>934</v>
      </c>
      <c r="E5715" s="610" t="s">
        <v>379</v>
      </c>
      <c r="F5715" s="610" t="s">
        <v>379</v>
      </c>
      <c r="G5715" s="614">
        <v>0</v>
      </c>
      <c r="H5715" s="611"/>
    </row>
    <row r="5716" spans="1:8" ht="12.75" customHeight="1">
      <c r="A5716" s="608">
        <v>4</v>
      </c>
      <c r="B5716" s="706" t="s">
        <v>656</v>
      </c>
      <c r="C5716" s="706"/>
      <c r="D5716" s="706"/>
      <c r="E5716" s="706"/>
      <c r="F5716" s="706"/>
      <c r="G5716" s="706"/>
      <c r="H5716" s="706"/>
    </row>
    <row r="5717" spans="1:8" ht="31.5">
      <c r="A5717" s="608" t="s">
        <v>657</v>
      </c>
      <c r="B5717" s="612" t="s">
        <v>658</v>
      </c>
      <c r="C5717" s="610" t="s">
        <v>379</v>
      </c>
      <c r="D5717" s="610" t="s">
        <v>379</v>
      </c>
      <c r="E5717" s="610" t="s">
        <v>379</v>
      </c>
      <c r="F5717" s="610" t="s">
        <v>379</v>
      </c>
      <c r="G5717" s="610" t="s">
        <v>379</v>
      </c>
      <c r="H5717" s="611" t="s">
        <v>626</v>
      </c>
    </row>
    <row r="5718" spans="1:8" ht="47.25">
      <c r="A5718" s="608" t="s">
        <v>659</v>
      </c>
      <c r="B5718" s="612" t="s">
        <v>660</v>
      </c>
      <c r="C5718" s="610" t="s">
        <v>379</v>
      </c>
      <c r="D5718" s="610" t="s">
        <v>379</v>
      </c>
      <c r="E5718" s="610" t="s">
        <v>379</v>
      </c>
      <c r="F5718" s="610" t="s">
        <v>379</v>
      </c>
      <c r="G5718" s="610" t="s">
        <v>379</v>
      </c>
      <c r="H5718" s="611" t="s">
        <v>626</v>
      </c>
    </row>
    <row r="5719" spans="1:8" ht="31.5">
      <c r="A5719" s="608" t="s">
        <v>661</v>
      </c>
      <c r="B5719" s="613" t="s">
        <v>662</v>
      </c>
      <c r="C5719" s="610" t="s">
        <v>935</v>
      </c>
      <c r="D5719" s="610" t="s">
        <v>711</v>
      </c>
      <c r="E5719" s="610" t="s">
        <v>379</v>
      </c>
      <c r="F5719" s="610" t="s">
        <v>379</v>
      </c>
      <c r="G5719" s="614">
        <v>0</v>
      </c>
      <c r="H5719" s="611"/>
    </row>
    <row r="5720" spans="1:8" ht="31.5">
      <c r="A5720" s="615" t="s">
        <v>663</v>
      </c>
      <c r="B5720" s="616" t="s">
        <v>664</v>
      </c>
      <c r="C5720" s="617" t="s">
        <v>711</v>
      </c>
      <c r="D5720" s="617" t="s">
        <v>1</v>
      </c>
      <c r="E5720" s="617" t="s">
        <v>379</v>
      </c>
      <c r="F5720" s="617" t="s">
        <v>379</v>
      </c>
      <c r="G5720" s="623">
        <v>0</v>
      </c>
      <c r="H5720" s="618"/>
    </row>
    <row r="5721" spans="1:8" ht="15.75">
      <c r="A5721" s="619"/>
      <c r="B5721" s="620"/>
      <c r="C5721" s="621"/>
      <c r="D5721" s="621"/>
      <c r="E5721" s="621"/>
      <c r="F5721" s="621"/>
      <c r="G5721" s="621"/>
      <c r="H5721" s="148"/>
    </row>
    <row r="5722" spans="1:8" ht="12.75" customHeight="1">
      <c r="A5722" s="707" t="s">
        <v>665</v>
      </c>
      <c r="B5722" s="707"/>
      <c r="C5722" s="707"/>
      <c r="D5722" s="707"/>
      <c r="E5722" s="707"/>
      <c r="F5722" s="707"/>
      <c r="G5722" s="707"/>
      <c r="H5722" s="707"/>
    </row>
    <row r="5726" ht="15.75">
      <c r="H5726" s="11" t="s">
        <v>609</v>
      </c>
    </row>
    <row r="5727" ht="15.75">
      <c r="H5727" s="11" t="s">
        <v>610</v>
      </c>
    </row>
    <row r="5728" ht="15.75">
      <c r="H5728" s="11" t="s">
        <v>611</v>
      </c>
    </row>
    <row r="5729" ht="15.75">
      <c r="H5729" s="11"/>
    </row>
    <row r="5730" spans="1:8" ht="12.75" customHeight="1">
      <c r="A5730" s="713" t="s">
        <v>612</v>
      </c>
      <c r="B5730" s="713"/>
      <c r="C5730" s="713"/>
      <c r="D5730" s="713"/>
      <c r="E5730" s="713"/>
      <c r="F5730" s="713"/>
      <c r="G5730" s="713"/>
      <c r="H5730" s="713"/>
    </row>
    <row r="5731" spans="1:8" ht="12.75" customHeight="1">
      <c r="A5731" s="713" t="s">
        <v>613</v>
      </c>
      <c r="B5731" s="713"/>
      <c r="C5731" s="713"/>
      <c r="D5731" s="713"/>
      <c r="E5731" s="713"/>
      <c r="F5731" s="713"/>
      <c r="G5731" s="713"/>
      <c r="H5731" s="713"/>
    </row>
    <row r="5732" ht="15.75">
      <c r="H5732" s="11" t="s">
        <v>43</v>
      </c>
    </row>
    <row r="5733" ht="15.75">
      <c r="H5733" s="11" t="s">
        <v>44</v>
      </c>
    </row>
    <row r="5734" ht="15.75">
      <c r="H5734" s="11" t="s">
        <v>45</v>
      </c>
    </row>
    <row r="5735" ht="15.75">
      <c r="H5735" s="594" t="s">
        <v>614</v>
      </c>
    </row>
    <row r="5736" ht="15.75">
      <c r="H5736" s="11" t="s">
        <v>615</v>
      </c>
    </row>
    <row r="5737" ht="15.75">
      <c r="H5737" s="11" t="s">
        <v>47</v>
      </c>
    </row>
    <row r="5738" ht="15.75">
      <c r="A5738" s="595"/>
    </row>
    <row r="5739" ht="15.75">
      <c r="A5739" s="3" t="s">
        <v>3</v>
      </c>
    </row>
    <row r="5740" spans="1:8" ht="12.75" customHeight="1">
      <c r="A5740" s="717" t="s">
        <v>0</v>
      </c>
      <c r="B5740" s="714"/>
      <c r="C5740" s="714"/>
      <c r="D5740" s="714"/>
      <c r="E5740" s="714"/>
      <c r="F5740" s="714"/>
      <c r="G5740" s="714"/>
      <c r="H5740" s="714"/>
    </row>
    <row r="5741" spans="1:8" ht="16.5" thickBot="1">
      <c r="A5741" s="597"/>
      <c r="B5741" s="597"/>
      <c r="C5741" s="598"/>
      <c r="D5741" s="598"/>
      <c r="E5741" s="598"/>
      <c r="F5741" s="598"/>
      <c r="G5741" s="598"/>
      <c r="H5741" s="598"/>
    </row>
    <row r="5742" spans="1:8" ht="12.75" customHeight="1">
      <c r="A5742" s="708" t="s">
        <v>617</v>
      </c>
      <c r="B5742" s="710" t="s">
        <v>618</v>
      </c>
      <c r="C5742" s="711" t="s">
        <v>619</v>
      </c>
      <c r="D5742" s="711"/>
      <c r="E5742" s="711"/>
      <c r="F5742" s="711"/>
      <c r="G5742" s="712" t="s">
        <v>620</v>
      </c>
      <c r="H5742" s="708" t="s">
        <v>621</v>
      </c>
    </row>
    <row r="5743" spans="1:8" ht="15.75">
      <c r="A5743" s="708"/>
      <c r="B5743" s="710"/>
      <c r="C5743" s="711"/>
      <c r="D5743" s="711"/>
      <c r="E5743" s="711"/>
      <c r="F5743" s="711"/>
      <c r="G5743" s="712"/>
      <c r="H5743" s="708"/>
    </row>
    <row r="5744" spans="1:8" ht="31.5">
      <c r="A5744" s="708"/>
      <c r="B5744" s="710"/>
      <c r="C5744" s="601" t="s">
        <v>622</v>
      </c>
      <c r="D5744" s="601" t="s">
        <v>623</v>
      </c>
      <c r="E5744" s="602" t="s">
        <v>622</v>
      </c>
      <c r="F5744" s="603" t="s">
        <v>623</v>
      </c>
      <c r="G5744" s="712"/>
      <c r="H5744" s="708"/>
    </row>
    <row r="5745" spans="1:8" ht="15.75">
      <c r="A5745" s="599">
        <v>1</v>
      </c>
      <c r="B5745" s="599">
        <v>2</v>
      </c>
      <c r="C5745" s="604">
        <v>3</v>
      </c>
      <c r="D5745" s="604">
        <v>4</v>
      </c>
      <c r="E5745" s="605"/>
      <c r="F5745" s="606"/>
      <c r="G5745" s="600">
        <v>5</v>
      </c>
      <c r="H5745" s="599">
        <v>6</v>
      </c>
    </row>
    <row r="5746" spans="1:8" ht="12.75" customHeight="1">
      <c r="A5746" s="607">
        <v>1</v>
      </c>
      <c r="B5746" s="709" t="s">
        <v>624</v>
      </c>
      <c r="C5746" s="709"/>
      <c r="D5746" s="709"/>
      <c r="E5746" s="709"/>
      <c r="F5746" s="709"/>
      <c r="G5746" s="709"/>
      <c r="H5746" s="709"/>
    </row>
    <row r="5747" spans="1:8" ht="15.75">
      <c r="A5747" s="608" t="s">
        <v>74</v>
      </c>
      <c r="B5747" s="609" t="s">
        <v>625</v>
      </c>
      <c r="C5747" s="610" t="s">
        <v>379</v>
      </c>
      <c r="D5747" s="610" t="s">
        <v>379</v>
      </c>
      <c r="E5747" s="610" t="s">
        <v>379</v>
      </c>
      <c r="F5747" s="610" t="s">
        <v>379</v>
      </c>
      <c r="G5747" s="610" t="s">
        <v>379</v>
      </c>
      <c r="H5747" s="611" t="s">
        <v>626</v>
      </c>
    </row>
    <row r="5748" spans="1:8" ht="15.75">
      <c r="A5748" s="608" t="s">
        <v>313</v>
      </c>
      <c r="B5748" s="609" t="s">
        <v>627</v>
      </c>
      <c r="C5748" s="610" t="s">
        <v>379</v>
      </c>
      <c r="D5748" s="610" t="s">
        <v>379</v>
      </c>
      <c r="E5748" s="610" t="s">
        <v>379</v>
      </c>
      <c r="F5748" s="610" t="s">
        <v>379</v>
      </c>
      <c r="G5748" s="610" t="s">
        <v>379</v>
      </c>
      <c r="H5748" s="611" t="s">
        <v>626</v>
      </c>
    </row>
    <row r="5749" spans="1:8" ht="31.5">
      <c r="A5749" s="608" t="s">
        <v>315</v>
      </c>
      <c r="B5749" s="612" t="s">
        <v>628</v>
      </c>
      <c r="C5749" s="610" t="s">
        <v>778</v>
      </c>
      <c r="D5749" s="610" t="s">
        <v>680</v>
      </c>
      <c r="E5749" s="610" t="s">
        <v>379</v>
      </c>
      <c r="F5749" s="610" t="s">
        <v>379</v>
      </c>
      <c r="G5749" s="614">
        <v>0</v>
      </c>
      <c r="H5749" s="611"/>
    </row>
    <row r="5750" spans="1:8" ht="47.25">
      <c r="A5750" s="608" t="s">
        <v>317</v>
      </c>
      <c r="B5750" s="612" t="s">
        <v>629</v>
      </c>
      <c r="C5750" s="610" t="s">
        <v>379</v>
      </c>
      <c r="D5750" s="610" t="s">
        <v>379</v>
      </c>
      <c r="E5750" s="610" t="s">
        <v>379</v>
      </c>
      <c r="F5750" s="610" t="s">
        <v>379</v>
      </c>
      <c r="G5750" s="610" t="s">
        <v>379</v>
      </c>
      <c r="H5750" s="611" t="s">
        <v>626</v>
      </c>
    </row>
    <row r="5751" spans="1:8" ht="15.75">
      <c r="A5751" s="608" t="s">
        <v>630</v>
      </c>
      <c r="B5751" s="613" t="s">
        <v>631</v>
      </c>
      <c r="C5751" s="610" t="s">
        <v>681</v>
      </c>
      <c r="D5751" s="610" t="s">
        <v>677</v>
      </c>
      <c r="E5751" s="610" t="s">
        <v>379</v>
      </c>
      <c r="F5751" s="610" t="s">
        <v>379</v>
      </c>
      <c r="G5751" s="614">
        <v>0</v>
      </c>
      <c r="H5751" s="611"/>
    </row>
    <row r="5752" spans="1:8" ht="15.75">
      <c r="A5752" s="608" t="s">
        <v>632</v>
      </c>
      <c r="B5752" s="613" t="s">
        <v>633</v>
      </c>
      <c r="C5752" s="610" t="s">
        <v>379</v>
      </c>
      <c r="D5752" s="610" t="s">
        <v>379</v>
      </c>
      <c r="E5752" s="610" t="s">
        <v>379</v>
      </c>
      <c r="F5752" s="610" t="s">
        <v>379</v>
      </c>
      <c r="G5752" s="610" t="s">
        <v>379</v>
      </c>
      <c r="H5752" s="611" t="s">
        <v>626</v>
      </c>
    </row>
    <row r="5753" spans="1:8" ht="12.75" customHeight="1">
      <c r="A5753" s="608">
        <v>2</v>
      </c>
      <c r="B5753" s="706" t="s">
        <v>634</v>
      </c>
      <c r="C5753" s="706"/>
      <c r="D5753" s="706"/>
      <c r="E5753" s="706"/>
      <c r="F5753" s="706"/>
      <c r="G5753" s="706"/>
      <c r="H5753" s="706"/>
    </row>
    <row r="5754" spans="1:8" ht="31.5">
      <c r="A5754" s="608" t="s">
        <v>321</v>
      </c>
      <c r="B5754" s="612" t="s">
        <v>635</v>
      </c>
      <c r="C5754" s="610" t="s">
        <v>778</v>
      </c>
      <c r="D5754" s="610" t="s">
        <v>824</v>
      </c>
      <c r="E5754" s="610" t="s">
        <v>379</v>
      </c>
      <c r="F5754" s="610" t="s">
        <v>379</v>
      </c>
      <c r="G5754" s="614">
        <v>0</v>
      </c>
      <c r="H5754" s="611"/>
    </row>
    <row r="5755" spans="1:8" ht="47.25">
      <c r="A5755" s="608" t="s">
        <v>325</v>
      </c>
      <c r="B5755" s="612" t="s">
        <v>638</v>
      </c>
      <c r="C5755" s="610" t="s">
        <v>379</v>
      </c>
      <c r="D5755" s="610" t="s">
        <v>379</v>
      </c>
      <c r="E5755" s="610" t="s">
        <v>379</v>
      </c>
      <c r="F5755" s="610" t="s">
        <v>379</v>
      </c>
      <c r="G5755" s="610" t="s">
        <v>379</v>
      </c>
      <c r="H5755" s="611" t="s">
        <v>626</v>
      </c>
    </row>
    <row r="5756" spans="1:8" ht="31.5">
      <c r="A5756" s="608" t="s">
        <v>639</v>
      </c>
      <c r="B5756" s="612" t="s">
        <v>640</v>
      </c>
      <c r="C5756" s="610" t="s">
        <v>379</v>
      </c>
      <c r="D5756" s="610" t="s">
        <v>379</v>
      </c>
      <c r="E5756" s="610" t="s">
        <v>379</v>
      </c>
      <c r="F5756" s="610" t="s">
        <v>379</v>
      </c>
      <c r="G5756" s="610" t="s">
        <v>379</v>
      </c>
      <c r="H5756" s="611" t="s">
        <v>626</v>
      </c>
    </row>
    <row r="5757" spans="1:8" ht="12.75" customHeight="1">
      <c r="A5757" s="608">
        <v>3</v>
      </c>
      <c r="B5757" s="706" t="s">
        <v>641</v>
      </c>
      <c r="C5757" s="706"/>
      <c r="D5757" s="706"/>
      <c r="E5757" s="706"/>
      <c r="F5757" s="706"/>
      <c r="G5757" s="706"/>
      <c r="H5757" s="706"/>
    </row>
    <row r="5758" spans="1:8" ht="31.5">
      <c r="A5758" s="608" t="s">
        <v>378</v>
      </c>
      <c r="B5758" s="613" t="s">
        <v>642</v>
      </c>
      <c r="C5758" s="610" t="s">
        <v>379</v>
      </c>
      <c r="D5758" s="610" t="s">
        <v>379</v>
      </c>
      <c r="E5758" s="610" t="s">
        <v>379</v>
      </c>
      <c r="F5758" s="610" t="s">
        <v>379</v>
      </c>
      <c r="G5758" s="610" t="s">
        <v>379</v>
      </c>
      <c r="H5758" s="611" t="s">
        <v>626</v>
      </c>
    </row>
    <row r="5759" spans="1:8" ht="15.75">
      <c r="A5759" s="608" t="s">
        <v>643</v>
      </c>
      <c r="B5759" s="613" t="s">
        <v>644</v>
      </c>
      <c r="C5759" s="610" t="s">
        <v>929</v>
      </c>
      <c r="D5759" s="610" t="s">
        <v>670</v>
      </c>
      <c r="E5759" s="610" t="s">
        <v>379</v>
      </c>
      <c r="F5759" s="610" t="s">
        <v>379</v>
      </c>
      <c r="G5759" s="614">
        <v>0</v>
      </c>
      <c r="H5759" s="611"/>
    </row>
    <row r="5760" spans="1:8" ht="15.75">
      <c r="A5760" s="608" t="s">
        <v>380</v>
      </c>
      <c r="B5760" s="613" t="s">
        <v>646</v>
      </c>
      <c r="C5760" s="610" t="s">
        <v>710</v>
      </c>
      <c r="D5760" s="610" t="s">
        <v>930</v>
      </c>
      <c r="E5760" s="610" t="s">
        <v>379</v>
      </c>
      <c r="F5760" s="610" t="s">
        <v>379</v>
      </c>
      <c r="G5760" s="614">
        <v>0</v>
      </c>
      <c r="H5760" s="611"/>
    </row>
    <row r="5761" spans="1:8" ht="15.75">
      <c r="A5761" s="608" t="s">
        <v>649</v>
      </c>
      <c r="B5761" s="613" t="s">
        <v>650</v>
      </c>
      <c r="C5761" s="610" t="s">
        <v>931</v>
      </c>
      <c r="D5761" s="610" t="s">
        <v>932</v>
      </c>
      <c r="E5761" s="610" t="s">
        <v>379</v>
      </c>
      <c r="F5761" s="610" t="s">
        <v>379</v>
      </c>
      <c r="G5761" s="614">
        <v>0</v>
      </c>
      <c r="H5761" s="611"/>
    </row>
    <row r="5762" spans="1:8" ht="15.75">
      <c r="A5762" s="608" t="s">
        <v>653</v>
      </c>
      <c r="B5762" s="613" t="s">
        <v>654</v>
      </c>
      <c r="C5762" s="610" t="s">
        <v>933</v>
      </c>
      <c r="D5762" s="610" t="s">
        <v>934</v>
      </c>
      <c r="E5762" s="610" t="s">
        <v>379</v>
      </c>
      <c r="F5762" s="610" t="s">
        <v>379</v>
      </c>
      <c r="G5762" s="614">
        <v>0</v>
      </c>
      <c r="H5762" s="611"/>
    </row>
    <row r="5763" spans="1:8" ht="12.75" customHeight="1">
      <c r="A5763" s="608">
        <v>4</v>
      </c>
      <c r="B5763" s="706" t="s">
        <v>656</v>
      </c>
      <c r="C5763" s="706"/>
      <c r="D5763" s="706"/>
      <c r="E5763" s="706"/>
      <c r="F5763" s="706"/>
      <c r="G5763" s="706"/>
      <c r="H5763" s="706"/>
    </row>
    <row r="5764" spans="1:8" ht="31.5">
      <c r="A5764" s="608" t="s">
        <v>657</v>
      </c>
      <c r="B5764" s="612" t="s">
        <v>658</v>
      </c>
      <c r="C5764" s="610" t="s">
        <v>379</v>
      </c>
      <c r="D5764" s="610" t="s">
        <v>379</v>
      </c>
      <c r="E5764" s="610" t="s">
        <v>379</v>
      </c>
      <c r="F5764" s="610" t="s">
        <v>379</v>
      </c>
      <c r="G5764" s="610" t="s">
        <v>379</v>
      </c>
      <c r="H5764" s="611" t="s">
        <v>626</v>
      </c>
    </row>
    <row r="5765" spans="1:8" ht="47.25">
      <c r="A5765" s="608" t="s">
        <v>659</v>
      </c>
      <c r="B5765" s="612" t="s">
        <v>660</v>
      </c>
      <c r="C5765" s="610" t="s">
        <v>379</v>
      </c>
      <c r="D5765" s="610" t="s">
        <v>379</v>
      </c>
      <c r="E5765" s="610" t="s">
        <v>379</v>
      </c>
      <c r="F5765" s="610" t="s">
        <v>379</v>
      </c>
      <c r="G5765" s="610" t="s">
        <v>379</v>
      </c>
      <c r="H5765" s="611" t="s">
        <v>626</v>
      </c>
    </row>
    <row r="5766" spans="1:8" ht="31.5">
      <c r="A5766" s="608" t="s">
        <v>661</v>
      </c>
      <c r="B5766" s="613" t="s">
        <v>662</v>
      </c>
      <c r="C5766" s="610" t="s">
        <v>935</v>
      </c>
      <c r="D5766" s="610" t="s">
        <v>711</v>
      </c>
      <c r="E5766" s="610" t="s">
        <v>379</v>
      </c>
      <c r="F5766" s="610" t="s">
        <v>379</v>
      </c>
      <c r="G5766" s="614">
        <v>0</v>
      </c>
      <c r="H5766" s="611"/>
    </row>
    <row r="5767" spans="1:8" ht="31.5">
      <c r="A5767" s="615" t="s">
        <v>663</v>
      </c>
      <c r="B5767" s="616" t="s">
        <v>664</v>
      </c>
      <c r="C5767" s="617" t="s">
        <v>711</v>
      </c>
      <c r="D5767" s="617" t="s">
        <v>1</v>
      </c>
      <c r="E5767" s="617" t="s">
        <v>379</v>
      </c>
      <c r="F5767" s="617" t="s">
        <v>379</v>
      </c>
      <c r="G5767" s="623">
        <v>0</v>
      </c>
      <c r="H5767" s="618"/>
    </row>
    <row r="5768" spans="1:8" ht="15.75">
      <c r="A5768" s="619"/>
      <c r="B5768" s="620"/>
      <c r="C5768" s="621"/>
      <c r="D5768" s="621"/>
      <c r="E5768" s="621"/>
      <c r="F5768" s="621"/>
      <c r="G5768" s="621"/>
      <c r="H5768" s="148"/>
    </row>
    <row r="5769" spans="1:8" ht="12.75" customHeight="1">
      <c r="A5769" s="707" t="s">
        <v>665</v>
      </c>
      <c r="B5769" s="707"/>
      <c r="C5769" s="707"/>
      <c r="D5769" s="707"/>
      <c r="E5769" s="707"/>
      <c r="F5769" s="707"/>
      <c r="G5769" s="707"/>
      <c r="H5769" s="707"/>
    </row>
    <row r="5775" ht="15.75">
      <c r="H5775" s="11" t="s">
        <v>609</v>
      </c>
    </row>
    <row r="5776" ht="15.75">
      <c r="H5776" s="11" t="s">
        <v>610</v>
      </c>
    </row>
    <row r="5777" ht="15.75">
      <c r="H5777" s="11" t="s">
        <v>611</v>
      </c>
    </row>
    <row r="5778" ht="15.75">
      <c r="H5778" s="11"/>
    </row>
    <row r="5779" spans="1:8" ht="12.75" customHeight="1">
      <c r="A5779" s="713" t="s">
        <v>612</v>
      </c>
      <c r="B5779" s="713"/>
      <c r="C5779" s="713"/>
      <c r="D5779" s="713"/>
      <c r="E5779" s="713"/>
      <c r="F5779" s="713"/>
      <c r="G5779" s="713"/>
      <c r="H5779" s="713"/>
    </row>
    <row r="5780" spans="1:8" ht="12.75" customHeight="1">
      <c r="A5780" s="713" t="s">
        <v>613</v>
      </c>
      <c r="B5780" s="713"/>
      <c r="C5780" s="713"/>
      <c r="D5780" s="713"/>
      <c r="E5780" s="713"/>
      <c r="F5780" s="713"/>
      <c r="G5780" s="713"/>
      <c r="H5780" s="713"/>
    </row>
    <row r="5781" ht="15.75">
      <c r="H5781" s="11" t="s">
        <v>43</v>
      </c>
    </row>
    <row r="5782" ht="15.75">
      <c r="H5782" s="11" t="s">
        <v>44</v>
      </c>
    </row>
    <row r="5783" ht="15.75">
      <c r="H5783" s="11" t="s">
        <v>45</v>
      </c>
    </row>
    <row r="5784" ht="15.75">
      <c r="H5784" s="594" t="s">
        <v>614</v>
      </c>
    </row>
    <row r="5785" ht="15.75">
      <c r="H5785" s="11" t="s">
        <v>615</v>
      </c>
    </row>
    <row r="5786" ht="15.75">
      <c r="H5786" s="11" t="s">
        <v>47</v>
      </c>
    </row>
    <row r="5787" ht="15.75">
      <c r="A5787" s="595"/>
    </row>
    <row r="5788" ht="15.75">
      <c r="A5788" s="3" t="s">
        <v>4</v>
      </c>
    </row>
    <row r="5789" spans="1:8" ht="12.75" customHeight="1">
      <c r="A5789" s="717" t="s">
        <v>0</v>
      </c>
      <c r="B5789" s="714"/>
      <c r="C5789" s="714"/>
      <c r="D5789" s="714"/>
      <c r="E5789" s="714"/>
      <c r="F5789" s="714"/>
      <c r="G5789" s="714"/>
      <c r="H5789" s="714"/>
    </row>
    <row r="5790" spans="1:8" ht="16.5" thickBot="1">
      <c r="A5790" s="597"/>
      <c r="B5790" s="597"/>
      <c r="C5790" s="598"/>
      <c r="D5790" s="598"/>
      <c r="E5790" s="598"/>
      <c r="F5790" s="598"/>
      <c r="G5790" s="598"/>
      <c r="H5790" s="598"/>
    </row>
    <row r="5791" spans="1:8" ht="12.75" customHeight="1">
      <c r="A5791" s="708" t="s">
        <v>617</v>
      </c>
      <c r="B5791" s="710" t="s">
        <v>618</v>
      </c>
      <c r="C5791" s="711" t="s">
        <v>619</v>
      </c>
      <c r="D5791" s="711"/>
      <c r="E5791" s="711"/>
      <c r="F5791" s="711"/>
      <c r="G5791" s="712" t="s">
        <v>620</v>
      </c>
      <c r="H5791" s="708" t="s">
        <v>621</v>
      </c>
    </row>
    <row r="5792" spans="1:8" ht="15.75">
      <c r="A5792" s="708"/>
      <c r="B5792" s="710"/>
      <c r="C5792" s="711"/>
      <c r="D5792" s="711"/>
      <c r="E5792" s="711"/>
      <c r="F5792" s="711"/>
      <c r="G5792" s="712"/>
      <c r="H5792" s="708"/>
    </row>
    <row r="5793" spans="1:8" ht="31.5">
      <c r="A5793" s="708"/>
      <c r="B5793" s="710"/>
      <c r="C5793" s="601" t="s">
        <v>622</v>
      </c>
      <c r="D5793" s="601" t="s">
        <v>623</v>
      </c>
      <c r="E5793" s="602" t="s">
        <v>622</v>
      </c>
      <c r="F5793" s="603" t="s">
        <v>623</v>
      </c>
      <c r="G5793" s="712"/>
      <c r="H5793" s="708"/>
    </row>
    <row r="5794" spans="1:8" ht="15.75">
      <c r="A5794" s="599">
        <v>1</v>
      </c>
      <c r="B5794" s="599">
        <v>2</v>
      </c>
      <c r="C5794" s="604">
        <v>3</v>
      </c>
      <c r="D5794" s="604">
        <v>4</v>
      </c>
      <c r="E5794" s="605"/>
      <c r="F5794" s="606"/>
      <c r="G5794" s="600">
        <v>5</v>
      </c>
      <c r="H5794" s="599">
        <v>6</v>
      </c>
    </row>
    <row r="5795" spans="1:8" ht="12.75" customHeight="1">
      <c r="A5795" s="607">
        <v>1</v>
      </c>
      <c r="B5795" s="709" t="s">
        <v>624</v>
      </c>
      <c r="C5795" s="709"/>
      <c r="D5795" s="709"/>
      <c r="E5795" s="709"/>
      <c r="F5795" s="709"/>
      <c r="G5795" s="709"/>
      <c r="H5795" s="709"/>
    </row>
    <row r="5796" spans="1:8" ht="15.75">
      <c r="A5796" s="608" t="s">
        <v>74</v>
      </c>
      <c r="B5796" s="609" t="s">
        <v>625</v>
      </c>
      <c r="C5796" s="610" t="s">
        <v>379</v>
      </c>
      <c r="D5796" s="610" t="s">
        <v>379</v>
      </c>
      <c r="E5796" s="610" t="s">
        <v>379</v>
      </c>
      <c r="F5796" s="610" t="s">
        <v>379</v>
      </c>
      <c r="G5796" s="610" t="s">
        <v>379</v>
      </c>
      <c r="H5796" s="611" t="s">
        <v>626</v>
      </c>
    </row>
    <row r="5797" spans="1:8" ht="15.75">
      <c r="A5797" s="608" t="s">
        <v>313</v>
      </c>
      <c r="B5797" s="609" t="s">
        <v>627</v>
      </c>
      <c r="C5797" s="610" t="s">
        <v>379</v>
      </c>
      <c r="D5797" s="610" t="s">
        <v>379</v>
      </c>
      <c r="E5797" s="610" t="s">
        <v>379</v>
      </c>
      <c r="F5797" s="610" t="s">
        <v>379</v>
      </c>
      <c r="G5797" s="610" t="s">
        <v>379</v>
      </c>
      <c r="H5797" s="611" t="s">
        <v>626</v>
      </c>
    </row>
    <row r="5798" spans="1:8" ht="31.5">
      <c r="A5798" s="608" t="s">
        <v>315</v>
      </c>
      <c r="B5798" s="612" t="s">
        <v>628</v>
      </c>
      <c r="C5798" s="610" t="s">
        <v>778</v>
      </c>
      <c r="D5798" s="610" t="s">
        <v>680</v>
      </c>
      <c r="E5798" s="610" t="s">
        <v>379</v>
      </c>
      <c r="F5798" s="610" t="s">
        <v>379</v>
      </c>
      <c r="G5798" s="614">
        <v>0</v>
      </c>
      <c r="H5798" s="611"/>
    </row>
    <row r="5799" spans="1:8" ht="47.25">
      <c r="A5799" s="608" t="s">
        <v>317</v>
      </c>
      <c r="B5799" s="612" t="s">
        <v>629</v>
      </c>
      <c r="C5799" s="610" t="s">
        <v>379</v>
      </c>
      <c r="D5799" s="610" t="s">
        <v>379</v>
      </c>
      <c r="E5799" s="610" t="s">
        <v>379</v>
      </c>
      <c r="F5799" s="610" t="s">
        <v>379</v>
      </c>
      <c r="G5799" s="610" t="s">
        <v>379</v>
      </c>
      <c r="H5799" s="611" t="s">
        <v>626</v>
      </c>
    </row>
    <row r="5800" spans="1:8" ht="15.75">
      <c r="A5800" s="608" t="s">
        <v>630</v>
      </c>
      <c r="B5800" s="613" t="s">
        <v>631</v>
      </c>
      <c r="C5800" s="610" t="s">
        <v>681</v>
      </c>
      <c r="D5800" s="610" t="s">
        <v>677</v>
      </c>
      <c r="E5800" s="610" t="s">
        <v>379</v>
      </c>
      <c r="F5800" s="610" t="s">
        <v>379</v>
      </c>
      <c r="G5800" s="614">
        <v>0</v>
      </c>
      <c r="H5800" s="611"/>
    </row>
    <row r="5801" spans="1:8" ht="15.75">
      <c r="A5801" s="608" t="s">
        <v>632</v>
      </c>
      <c r="B5801" s="613" t="s">
        <v>633</v>
      </c>
      <c r="C5801" s="610" t="s">
        <v>379</v>
      </c>
      <c r="D5801" s="610" t="s">
        <v>379</v>
      </c>
      <c r="E5801" s="610" t="s">
        <v>379</v>
      </c>
      <c r="F5801" s="610" t="s">
        <v>379</v>
      </c>
      <c r="G5801" s="610" t="s">
        <v>379</v>
      </c>
      <c r="H5801" s="611" t="s">
        <v>626</v>
      </c>
    </row>
    <row r="5802" spans="1:8" ht="12.75" customHeight="1">
      <c r="A5802" s="608">
        <v>2</v>
      </c>
      <c r="B5802" s="706" t="s">
        <v>634</v>
      </c>
      <c r="C5802" s="706"/>
      <c r="D5802" s="706"/>
      <c r="E5802" s="706"/>
      <c r="F5802" s="706"/>
      <c r="G5802" s="706"/>
      <c r="H5802" s="706"/>
    </row>
    <row r="5803" spans="1:8" ht="31.5">
      <c r="A5803" s="608" t="s">
        <v>321</v>
      </c>
      <c r="B5803" s="612" t="s">
        <v>635</v>
      </c>
      <c r="C5803" s="610" t="s">
        <v>778</v>
      </c>
      <c r="D5803" s="610" t="s">
        <v>824</v>
      </c>
      <c r="E5803" s="610" t="s">
        <v>379</v>
      </c>
      <c r="F5803" s="610" t="s">
        <v>379</v>
      </c>
      <c r="G5803" s="614">
        <v>0</v>
      </c>
      <c r="H5803" s="611"/>
    </row>
    <row r="5804" spans="1:8" ht="47.25">
      <c r="A5804" s="608" t="s">
        <v>325</v>
      </c>
      <c r="B5804" s="612" t="s">
        <v>638</v>
      </c>
      <c r="C5804" s="610" t="s">
        <v>379</v>
      </c>
      <c r="D5804" s="610" t="s">
        <v>379</v>
      </c>
      <c r="E5804" s="610" t="s">
        <v>379</v>
      </c>
      <c r="F5804" s="610" t="s">
        <v>379</v>
      </c>
      <c r="G5804" s="610" t="s">
        <v>379</v>
      </c>
      <c r="H5804" s="611" t="s">
        <v>626</v>
      </c>
    </row>
    <row r="5805" spans="1:8" ht="31.5">
      <c r="A5805" s="608" t="s">
        <v>639</v>
      </c>
      <c r="B5805" s="612" t="s">
        <v>640</v>
      </c>
      <c r="C5805" s="610" t="s">
        <v>379</v>
      </c>
      <c r="D5805" s="610" t="s">
        <v>379</v>
      </c>
      <c r="E5805" s="610" t="s">
        <v>379</v>
      </c>
      <c r="F5805" s="610" t="s">
        <v>379</v>
      </c>
      <c r="G5805" s="610" t="s">
        <v>379</v>
      </c>
      <c r="H5805" s="611" t="s">
        <v>626</v>
      </c>
    </row>
    <row r="5806" spans="1:8" ht="12.75" customHeight="1">
      <c r="A5806" s="608">
        <v>3</v>
      </c>
      <c r="B5806" s="706" t="s">
        <v>641</v>
      </c>
      <c r="C5806" s="706"/>
      <c r="D5806" s="706"/>
      <c r="E5806" s="706"/>
      <c r="F5806" s="706"/>
      <c r="G5806" s="706"/>
      <c r="H5806" s="706"/>
    </row>
    <row r="5807" spans="1:8" ht="31.5">
      <c r="A5807" s="608" t="s">
        <v>378</v>
      </c>
      <c r="B5807" s="613" t="s">
        <v>642</v>
      </c>
      <c r="C5807" s="610" t="s">
        <v>379</v>
      </c>
      <c r="D5807" s="610" t="s">
        <v>379</v>
      </c>
      <c r="E5807" s="610" t="s">
        <v>379</v>
      </c>
      <c r="F5807" s="610" t="s">
        <v>379</v>
      </c>
      <c r="G5807" s="610" t="s">
        <v>379</v>
      </c>
      <c r="H5807" s="611" t="s">
        <v>626</v>
      </c>
    </row>
    <row r="5808" spans="1:8" ht="15.75">
      <c r="A5808" s="608" t="s">
        <v>643</v>
      </c>
      <c r="B5808" s="613" t="s">
        <v>644</v>
      </c>
      <c r="C5808" s="610" t="s">
        <v>929</v>
      </c>
      <c r="D5808" s="610" t="s">
        <v>670</v>
      </c>
      <c r="E5808" s="610" t="s">
        <v>379</v>
      </c>
      <c r="F5808" s="610" t="s">
        <v>379</v>
      </c>
      <c r="G5808" s="614">
        <v>0</v>
      </c>
      <c r="H5808" s="611"/>
    </row>
    <row r="5809" spans="1:8" ht="15.75">
      <c r="A5809" s="608" t="s">
        <v>380</v>
      </c>
      <c r="B5809" s="613" t="s">
        <v>646</v>
      </c>
      <c r="C5809" s="610" t="s">
        <v>710</v>
      </c>
      <c r="D5809" s="610" t="s">
        <v>930</v>
      </c>
      <c r="E5809" s="610" t="s">
        <v>379</v>
      </c>
      <c r="F5809" s="610" t="s">
        <v>379</v>
      </c>
      <c r="G5809" s="614">
        <v>0</v>
      </c>
      <c r="H5809" s="611"/>
    </row>
    <row r="5810" spans="1:8" ht="15.75">
      <c r="A5810" s="608" t="s">
        <v>649</v>
      </c>
      <c r="B5810" s="613" t="s">
        <v>650</v>
      </c>
      <c r="C5810" s="610" t="s">
        <v>931</v>
      </c>
      <c r="D5810" s="610" t="s">
        <v>932</v>
      </c>
      <c r="E5810" s="610" t="s">
        <v>379</v>
      </c>
      <c r="F5810" s="610" t="s">
        <v>379</v>
      </c>
      <c r="G5810" s="614">
        <v>0</v>
      </c>
      <c r="H5810" s="611"/>
    </row>
    <row r="5811" spans="1:8" ht="15.75">
      <c r="A5811" s="608" t="s">
        <v>653</v>
      </c>
      <c r="B5811" s="613" t="s">
        <v>654</v>
      </c>
      <c r="C5811" s="610" t="s">
        <v>933</v>
      </c>
      <c r="D5811" s="610" t="s">
        <v>934</v>
      </c>
      <c r="E5811" s="610" t="s">
        <v>379</v>
      </c>
      <c r="F5811" s="610" t="s">
        <v>379</v>
      </c>
      <c r="G5811" s="614">
        <v>0</v>
      </c>
      <c r="H5811" s="611"/>
    </row>
    <row r="5812" spans="1:8" ht="12.75" customHeight="1">
      <c r="A5812" s="608">
        <v>4</v>
      </c>
      <c r="B5812" s="706" t="s">
        <v>656</v>
      </c>
      <c r="C5812" s="706"/>
      <c r="D5812" s="706"/>
      <c r="E5812" s="706"/>
      <c r="F5812" s="706"/>
      <c r="G5812" s="706"/>
      <c r="H5812" s="706"/>
    </row>
    <row r="5813" spans="1:8" ht="31.5">
      <c r="A5813" s="608" t="s">
        <v>657</v>
      </c>
      <c r="B5813" s="612" t="s">
        <v>658</v>
      </c>
      <c r="C5813" s="610" t="s">
        <v>379</v>
      </c>
      <c r="D5813" s="610" t="s">
        <v>379</v>
      </c>
      <c r="E5813" s="610" t="s">
        <v>379</v>
      </c>
      <c r="F5813" s="610" t="s">
        <v>379</v>
      </c>
      <c r="G5813" s="610" t="s">
        <v>379</v>
      </c>
      <c r="H5813" s="611" t="s">
        <v>626</v>
      </c>
    </row>
    <row r="5814" spans="1:8" ht="47.25">
      <c r="A5814" s="608" t="s">
        <v>659</v>
      </c>
      <c r="B5814" s="612" t="s">
        <v>660</v>
      </c>
      <c r="C5814" s="610" t="s">
        <v>379</v>
      </c>
      <c r="D5814" s="610" t="s">
        <v>379</v>
      </c>
      <c r="E5814" s="610" t="s">
        <v>379</v>
      </c>
      <c r="F5814" s="610" t="s">
        <v>379</v>
      </c>
      <c r="G5814" s="610" t="s">
        <v>379</v>
      </c>
      <c r="H5814" s="611" t="s">
        <v>626</v>
      </c>
    </row>
    <row r="5815" spans="1:8" ht="31.5">
      <c r="A5815" s="608" t="s">
        <v>661</v>
      </c>
      <c r="B5815" s="613" t="s">
        <v>662</v>
      </c>
      <c r="C5815" s="610" t="s">
        <v>935</v>
      </c>
      <c r="D5815" s="610" t="s">
        <v>711</v>
      </c>
      <c r="E5815" s="610" t="s">
        <v>379</v>
      </c>
      <c r="F5815" s="610" t="s">
        <v>379</v>
      </c>
      <c r="G5815" s="614">
        <v>0</v>
      </c>
      <c r="H5815" s="611"/>
    </row>
    <row r="5816" spans="1:8" ht="31.5">
      <c r="A5816" s="615" t="s">
        <v>663</v>
      </c>
      <c r="B5816" s="616" t="s">
        <v>664</v>
      </c>
      <c r="C5816" s="617" t="s">
        <v>711</v>
      </c>
      <c r="D5816" s="617" t="s">
        <v>1</v>
      </c>
      <c r="E5816" s="617" t="s">
        <v>379</v>
      </c>
      <c r="F5816" s="617" t="s">
        <v>379</v>
      </c>
      <c r="G5816" s="623">
        <v>0</v>
      </c>
      <c r="H5816" s="618"/>
    </row>
    <row r="5817" spans="1:8" ht="15.75">
      <c r="A5817" s="619"/>
      <c r="B5817" s="620"/>
      <c r="C5817" s="621"/>
      <c r="D5817" s="621"/>
      <c r="E5817" s="621"/>
      <c r="F5817" s="621"/>
      <c r="G5817" s="621"/>
      <c r="H5817" s="148"/>
    </row>
    <row r="5818" spans="1:8" ht="12.75" customHeight="1">
      <c r="A5818" s="707" t="s">
        <v>665</v>
      </c>
      <c r="B5818" s="707"/>
      <c r="C5818" s="707"/>
      <c r="D5818" s="707"/>
      <c r="E5818" s="707"/>
      <c r="F5818" s="707"/>
      <c r="G5818" s="707"/>
      <c r="H5818" s="707"/>
    </row>
    <row r="5823" ht="15.75">
      <c r="H5823" s="11" t="s">
        <v>609</v>
      </c>
    </row>
    <row r="5824" ht="15.75">
      <c r="H5824" s="11" t="s">
        <v>610</v>
      </c>
    </row>
    <row r="5825" ht="15.75">
      <c r="H5825" s="11" t="s">
        <v>611</v>
      </c>
    </row>
    <row r="5826" ht="15.75">
      <c r="H5826" s="11"/>
    </row>
    <row r="5827" spans="1:8" ht="12.75" customHeight="1">
      <c r="A5827" s="713" t="s">
        <v>612</v>
      </c>
      <c r="B5827" s="713"/>
      <c r="C5827" s="713"/>
      <c r="D5827" s="713"/>
      <c r="E5827" s="713"/>
      <c r="F5827" s="713"/>
      <c r="G5827" s="713"/>
      <c r="H5827" s="713"/>
    </row>
    <row r="5828" spans="1:8" ht="12.75" customHeight="1">
      <c r="A5828" s="713" t="s">
        <v>613</v>
      </c>
      <c r="B5828" s="713"/>
      <c r="C5828" s="713"/>
      <c r="D5828" s="713"/>
      <c r="E5828" s="713"/>
      <c r="F5828" s="713"/>
      <c r="G5828" s="713"/>
      <c r="H5828" s="713"/>
    </row>
    <row r="5829" ht="15.75">
      <c r="H5829" s="11" t="s">
        <v>43</v>
      </c>
    </row>
    <row r="5830" ht="15.75">
      <c r="H5830" s="11" t="s">
        <v>44</v>
      </c>
    </row>
    <row r="5831" ht="15.75">
      <c r="H5831" s="11" t="s">
        <v>45</v>
      </c>
    </row>
    <row r="5832" ht="15.75">
      <c r="H5832" s="594" t="s">
        <v>614</v>
      </c>
    </row>
    <row r="5833" ht="15.75">
      <c r="H5833" s="11" t="s">
        <v>615</v>
      </c>
    </row>
    <row r="5834" ht="15.75">
      <c r="H5834" s="11" t="s">
        <v>47</v>
      </c>
    </row>
    <row r="5835" ht="15.75">
      <c r="A5835" s="595"/>
    </row>
    <row r="5836" ht="15.75">
      <c r="A5836" s="3" t="s">
        <v>5</v>
      </c>
    </row>
    <row r="5837" spans="1:8" ht="12.75" customHeight="1">
      <c r="A5837" s="717" t="s">
        <v>0</v>
      </c>
      <c r="B5837" s="714"/>
      <c r="C5837" s="714"/>
      <c r="D5837" s="714"/>
      <c r="E5837" s="714"/>
      <c r="F5837" s="714"/>
      <c r="G5837" s="714"/>
      <c r="H5837" s="714"/>
    </row>
    <row r="5838" spans="1:8" ht="16.5" thickBot="1">
      <c r="A5838" s="597"/>
      <c r="B5838" s="597"/>
      <c r="C5838" s="598"/>
      <c r="D5838" s="598"/>
      <c r="E5838" s="598"/>
      <c r="F5838" s="598"/>
      <c r="G5838" s="598"/>
      <c r="H5838" s="598"/>
    </row>
    <row r="5839" spans="1:8" ht="12.75" customHeight="1">
      <c r="A5839" s="708" t="s">
        <v>617</v>
      </c>
      <c r="B5839" s="710" t="s">
        <v>618</v>
      </c>
      <c r="C5839" s="711" t="s">
        <v>619</v>
      </c>
      <c r="D5839" s="711"/>
      <c r="E5839" s="711"/>
      <c r="F5839" s="711"/>
      <c r="G5839" s="712" t="s">
        <v>620</v>
      </c>
      <c r="H5839" s="708" t="s">
        <v>621</v>
      </c>
    </row>
    <row r="5840" spans="1:8" ht="15.75">
      <c r="A5840" s="708"/>
      <c r="B5840" s="710"/>
      <c r="C5840" s="711"/>
      <c r="D5840" s="711"/>
      <c r="E5840" s="711"/>
      <c r="F5840" s="711"/>
      <c r="G5840" s="712"/>
      <c r="H5840" s="708"/>
    </row>
    <row r="5841" spans="1:8" ht="31.5">
      <c r="A5841" s="708"/>
      <c r="B5841" s="710"/>
      <c r="C5841" s="601" t="s">
        <v>622</v>
      </c>
      <c r="D5841" s="601" t="s">
        <v>623</v>
      </c>
      <c r="E5841" s="602" t="s">
        <v>622</v>
      </c>
      <c r="F5841" s="603" t="s">
        <v>623</v>
      </c>
      <c r="G5841" s="712"/>
      <c r="H5841" s="708"/>
    </row>
    <row r="5842" spans="1:8" ht="15.75">
      <c r="A5842" s="599">
        <v>1</v>
      </c>
      <c r="B5842" s="599">
        <v>2</v>
      </c>
      <c r="C5842" s="604">
        <v>3</v>
      </c>
      <c r="D5842" s="604">
        <v>4</v>
      </c>
      <c r="E5842" s="605"/>
      <c r="F5842" s="606"/>
      <c r="G5842" s="600">
        <v>5</v>
      </c>
      <c r="H5842" s="599">
        <v>6</v>
      </c>
    </row>
    <row r="5843" spans="1:8" ht="12.75" customHeight="1">
      <c r="A5843" s="607">
        <v>1</v>
      </c>
      <c r="B5843" s="709" t="s">
        <v>624</v>
      </c>
      <c r="C5843" s="709"/>
      <c r="D5843" s="709"/>
      <c r="E5843" s="709"/>
      <c r="F5843" s="709"/>
      <c r="G5843" s="709"/>
      <c r="H5843" s="709"/>
    </row>
    <row r="5844" spans="1:8" ht="15.75">
      <c r="A5844" s="608" t="s">
        <v>74</v>
      </c>
      <c r="B5844" s="609" t="s">
        <v>625</v>
      </c>
      <c r="C5844" s="610" t="s">
        <v>379</v>
      </c>
      <c r="D5844" s="610" t="s">
        <v>379</v>
      </c>
      <c r="E5844" s="610" t="s">
        <v>379</v>
      </c>
      <c r="F5844" s="610" t="s">
        <v>379</v>
      </c>
      <c r="G5844" s="610" t="s">
        <v>379</v>
      </c>
      <c r="H5844" s="611" t="s">
        <v>626</v>
      </c>
    </row>
    <row r="5845" spans="1:8" ht="15.75">
      <c r="A5845" s="608" t="s">
        <v>313</v>
      </c>
      <c r="B5845" s="609" t="s">
        <v>627</v>
      </c>
      <c r="C5845" s="610" t="s">
        <v>379</v>
      </c>
      <c r="D5845" s="610" t="s">
        <v>379</v>
      </c>
      <c r="E5845" s="610" t="s">
        <v>379</v>
      </c>
      <c r="F5845" s="610" t="s">
        <v>379</v>
      </c>
      <c r="G5845" s="610" t="s">
        <v>379</v>
      </c>
      <c r="H5845" s="611" t="s">
        <v>626</v>
      </c>
    </row>
    <row r="5846" spans="1:8" ht="31.5">
      <c r="A5846" s="608" t="s">
        <v>315</v>
      </c>
      <c r="B5846" s="612" t="s">
        <v>628</v>
      </c>
      <c r="C5846" s="610" t="s">
        <v>379</v>
      </c>
      <c r="D5846" s="610" t="s">
        <v>379</v>
      </c>
      <c r="E5846" s="610" t="s">
        <v>379</v>
      </c>
      <c r="F5846" s="610" t="s">
        <v>379</v>
      </c>
      <c r="G5846" s="610" t="s">
        <v>379</v>
      </c>
      <c r="H5846" s="611" t="s">
        <v>626</v>
      </c>
    </row>
    <row r="5847" spans="1:8" ht="47.25">
      <c r="A5847" s="608" t="s">
        <v>317</v>
      </c>
      <c r="B5847" s="612" t="s">
        <v>629</v>
      </c>
      <c r="C5847" s="610" t="s">
        <v>379</v>
      </c>
      <c r="D5847" s="610" t="s">
        <v>379</v>
      </c>
      <c r="E5847" s="610" t="s">
        <v>379</v>
      </c>
      <c r="F5847" s="610" t="s">
        <v>379</v>
      </c>
      <c r="G5847" s="610" t="s">
        <v>379</v>
      </c>
      <c r="H5847" s="611" t="s">
        <v>626</v>
      </c>
    </row>
    <row r="5848" spans="1:8" ht="15.75">
      <c r="A5848" s="608" t="s">
        <v>630</v>
      </c>
      <c r="B5848" s="613" t="s">
        <v>631</v>
      </c>
      <c r="C5848" s="610" t="s">
        <v>379</v>
      </c>
      <c r="D5848" s="610" t="s">
        <v>379</v>
      </c>
      <c r="E5848" s="610" t="s">
        <v>379</v>
      </c>
      <c r="F5848" s="610" t="s">
        <v>379</v>
      </c>
      <c r="G5848" s="610" t="s">
        <v>379</v>
      </c>
      <c r="H5848" s="611" t="s">
        <v>626</v>
      </c>
    </row>
    <row r="5849" spans="1:8" ht="15.75">
      <c r="A5849" s="608" t="s">
        <v>632</v>
      </c>
      <c r="B5849" s="613" t="s">
        <v>633</v>
      </c>
      <c r="C5849" s="610" t="s">
        <v>379</v>
      </c>
      <c r="D5849" s="610" t="s">
        <v>379</v>
      </c>
      <c r="E5849" s="610" t="s">
        <v>379</v>
      </c>
      <c r="F5849" s="610" t="s">
        <v>379</v>
      </c>
      <c r="G5849" s="610" t="s">
        <v>379</v>
      </c>
      <c r="H5849" s="611" t="s">
        <v>626</v>
      </c>
    </row>
    <row r="5850" spans="1:8" ht="12.75" customHeight="1">
      <c r="A5850" s="608">
        <v>2</v>
      </c>
      <c r="B5850" s="706" t="s">
        <v>634</v>
      </c>
      <c r="C5850" s="706"/>
      <c r="D5850" s="706"/>
      <c r="E5850" s="706"/>
      <c r="F5850" s="706"/>
      <c r="G5850" s="706"/>
      <c r="H5850" s="706"/>
    </row>
    <row r="5851" spans="1:8" ht="31.5">
      <c r="A5851" s="608" t="s">
        <v>321</v>
      </c>
      <c r="B5851" s="612" t="s">
        <v>635</v>
      </c>
      <c r="C5851" s="610" t="s">
        <v>721</v>
      </c>
      <c r="D5851" s="610" t="s">
        <v>852</v>
      </c>
      <c r="E5851" s="610" t="s">
        <v>379</v>
      </c>
      <c r="F5851" s="610" t="s">
        <v>379</v>
      </c>
      <c r="G5851" s="614">
        <v>0</v>
      </c>
      <c r="H5851" s="611"/>
    </row>
    <row r="5852" spans="1:8" ht="47.25">
      <c r="A5852" s="608" t="s">
        <v>325</v>
      </c>
      <c r="B5852" s="612" t="s">
        <v>638</v>
      </c>
      <c r="C5852" s="610" t="s">
        <v>379</v>
      </c>
      <c r="D5852" s="610" t="s">
        <v>379</v>
      </c>
      <c r="E5852" s="610" t="s">
        <v>379</v>
      </c>
      <c r="F5852" s="610" t="s">
        <v>379</v>
      </c>
      <c r="G5852" s="610" t="s">
        <v>379</v>
      </c>
      <c r="H5852" s="611" t="s">
        <v>626</v>
      </c>
    </row>
    <row r="5853" spans="1:8" ht="31.5">
      <c r="A5853" s="608" t="s">
        <v>639</v>
      </c>
      <c r="B5853" s="612" t="s">
        <v>640</v>
      </c>
      <c r="C5853" s="610" t="s">
        <v>379</v>
      </c>
      <c r="D5853" s="610" t="s">
        <v>379</v>
      </c>
      <c r="E5853" s="610" t="s">
        <v>379</v>
      </c>
      <c r="F5853" s="610" t="s">
        <v>379</v>
      </c>
      <c r="G5853" s="610" t="s">
        <v>379</v>
      </c>
      <c r="H5853" s="611" t="s">
        <v>626</v>
      </c>
    </row>
    <row r="5854" spans="1:8" ht="12.75" customHeight="1">
      <c r="A5854" s="608">
        <v>3</v>
      </c>
      <c r="B5854" s="706" t="s">
        <v>641</v>
      </c>
      <c r="C5854" s="706"/>
      <c r="D5854" s="706"/>
      <c r="E5854" s="706"/>
      <c r="F5854" s="706"/>
      <c r="G5854" s="706"/>
      <c r="H5854" s="706"/>
    </row>
    <row r="5855" spans="1:8" ht="31.5">
      <c r="A5855" s="608" t="s">
        <v>378</v>
      </c>
      <c r="B5855" s="613" t="s">
        <v>642</v>
      </c>
      <c r="C5855" s="610" t="s">
        <v>379</v>
      </c>
      <c r="D5855" s="610" t="s">
        <v>379</v>
      </c>
      <c r="E5855" s="610" t="s">
        <v>379</v>
      </c>
      <c r="F5855" s="610" t="s">
        <v>379</v>
      </c>
      <c r="G5855" s="610" t="s">
        <v>379</v>
      </c>
      <c r="H5855" s="611" t="s">
        <v>626</v>
      </c>
    </row>
    <row r="5856" spans="1:8" ht="15.75">
      <c r="A5856" s="608" t="s">
        <v>643</v>
      </c>
      <c r="B5856" s="613" t="s">
        <v>644</v>
      </c>
      <c r="C5856" s="610" t="s">
        <v>721</v>
      </c>
      <c r="D5856" s="610" t="s">
        <v>765</v>
      </c>
      <c r="E5856" s="610" t="s">
        <v>379</v>
      </c>
      <c r="F5856" s="610" t="s">
        <v>379</v>
      </c>
      <c r="G5856" s="614">
        <v>0</v>
      </c>
      <c r="H5856" s="611"/>
    </row>
    <row r="5857" spans="1:8" ht="15.75">
      <c r="A5857" s="608" t="s">
        <v>380</v>
      </c>
      <c r="B5857" s="613" t="s">
        <v>646</v>
      </c>
      <c r="C5857" s="610" t="s">
        <v>833</v>
      </c>
      <c r="D5857" s="610" t="s">
        <v>727</v>
      </c>
      <c r="E5857" s="610" t="s">
        <v>379</v>
      </c>
      <c r="F5857" s="610" t="s">
        <v>379</v>
      </c>
      <c r="G5857" s="614">
        <v>0</v>
      </c>
      <c r="H5857" s="611"/>
    </row>
    <row r="5858" spans="1:8" ht="15.75">
      <c r="A5858" s="608" t="s">
        <v>649</v>
      </c>
      <c r="B5858" s="613" t="s">
        <v>650</v>
      </c>
      <c r="C5858" s="610" t="s">
        <v>925</v>
      </c>
      <c r="D5858" s="610" t="s">
        <v>728</v>
      </c>
      <c r="E5858" s="610" t="s">
        <v>379</v>
      </c>
      <c r="F5858" s="610" t="s">
        <v>379</v>
      </c>
      <c r="G5858" s="614">
        <v>0</v>
      </c>
      <c r="H5858" s="611"/>
    </row>
    <row r="5859" spans="1:8" ht="15.75">
      <c r="A5859" s="608" t="s">
        <v>653</v>
      </c>
      <c r="B5859" s="613" t="s">
        <v>654</v>
      </c>
      <c r="C5859" s="610" t="s">
        <v>729</v>
      </c>
      <c r="D5859" s="610" t="s">
        <v>725</v>
      </c>
      <c r="E5859" s="610" t="s">
        <v>379</v>
      </c>
      <c r="F5859" s="610" t="s">
        <v>379</v>
      </c>
      <c r="G5859" s="614">
        <v>0</v>
      </c>
      <c r="H5859" s="611"/>
    </row>
    <row r="5860" spans="1:8" ht="12.75" customHeight="1">
      <c r="A5860" s="608">
        <v>4</v>
      </c>
      <c r="B5860" s="706" t="s">
        <v>656</v>
      </c>
      <c r="C5860" s="706"/>
      <c r="D5860" s="706"/>
      <c r="E5860" s="706"/>
      <c r="F5860" s="706"/>
      <c r="G5860" s="706"/>
      <c r="H5860" s="706"/>
    </row>
    <row r="5861" spans="1:8" ht="31.5">
      <c r="A5861" s="608" t="s">
        <v>657</v>
      </c>
      <c r="B5861" s="612" t="s">
        <v>658</v>
      </c>
      <c r="C5861" s="610" t="s">
        <v>379</v>
      </c>
      <c r="D5861" s="610" t="s">
        <v>379</v>
      </c>
      <c r="E5861" s="610" t="s">
        <v>379</v>
      </c>
      <c r="F5861" s="610" t="s">
        <v>379</v>
      </c>
      <c r="G5861" s="610" t="s">
        <v>379</v>
      </c>
      <c r="H5861" s="611" t="s">
        <v>626</v>
      </c>
    </row>
    <row r="5862" spans="1:8" ht="47.25">
      <c r="A5862" s="608" t="s">
        <v>659</v>
      </c>
      <c r="B5862" s="612" t="s">
        <v>660</v>
      </c>
      <c r="C5862" s="610" t="s">
        <v>379</v>
      </c>
      <c r="D5862" s="610" t="s">
        <v>379</v>
      </c>
      <c r="E5862" s="610" t="s">
        <v>379</v>
      </c>
      <c r="F5862" s="610" t="s">
        <v>379</v>
      </c>
      <c r="G5862" s="610" t="s">
        <v>379</v>
      </c>
      <c r="H5862" s="611" t="s">
        <v>626</v>
      </c>
    </row>
    <row r="5863" spans="1:8" ht="31.5">
      <c r="A5863" s="608" t="s">
        <v>661</v>
      </c>
      <c r="B5863" s="613" t="s">
        <v>662</v>
      </c>
      <c r="C5863" s="610" t="s">
        <v>851</v>
      </c>
      <c r="D5863" s="610" t="s">
        <v>6</v>
      </c>
      <c r="E5863" s="610" t="s">
        <v>379</v>
      </c>
      <c r="F5863" s="610" t="s">
        <v>379</v>
      </c>
      <c r="G5863" s="614">
        <v>0</v>
      </c>
      <c r="H5863" s="611"/>
    </row>
    <row r="5864" spans="1:8" ht="31.5">
      <c r="A5864" s="615" t="s">
        <v>663</v>
      </c>
      <c r="B5864" s="616" t="s">
        <v>664</v>
      </c>
      <c r="C5864" s="617" t="s">
        <v>740</v>
      </c>
      <c r="D5864" s="617" t="s">
        <v>7</v>
      </c>
      <c r="E5864" s="617" t="s">
        <v>379</v>
      </c>
      <c r="F5864" s="617" t="s">
        <v>379</v>
      </c>
      <c r="G5864" s="623">
        <v>0</v>
      </c>
      <c r="H5864" s="618"/>
    </row>
    <row r="5865" spans="1:8" ht="15.75">
      <c r="A5865" s="619"/>
      <c r="B5865" s="620"/>
      <c r="C5865" s="621"/>
      <c r="D5865" s="621"/>
      <c r="E5865" s="621"/>
      <c r="F5865" s="621"/>
      <c r="G5865" s="621"/>
      <c r="H5865" s="148"/>
    </row>
    <row r="5866" spans="1:8" ht="12.75" customHeight="1">
      <c r="A5866" s="707" t="s">
        <v>665</v>
      </c>
      <c r="B5866" s="707"/>
      <c r="C5866" s="707"/>
      <c r="D5866" s="707"/>
      <c r="E5866" s="707"/>
      <c r="F5866" s="707"/>
      <c r="G5866" s="707"/>
      <c r="H5866" s="707"/>
    </row>
    <row r="5869" ht="15.75">
      <c r="H5869" s="11" t="s">
        <v>609</v>
      </c>
    </row>
    <row r="5870" ht="15.75">
      <c r="H5870" s="11" t="s">
        <v>610</v>
      </c>
    </row>
    <row r="5871" ht="15.75">
      <c r="H5871" s="11" t="s">
        <v>611</v>
      </c>
    </row>
    <row r="5872" ht="15.75">
      <c r="H5872" s="11"/>
    </row>
    <row r="5873" spans="1:8" ht="12.75" customHeight="1">
      <c r="A5873" s="713" t="s">
        <v>612</v>
      </c>
      <c r="B5873" s="713"/>
      <c r="C5873" s="713"/>
      <c r="D5873" s="713"/>
      <c r="E5873" s="713"/>
      <c r="F5873" s="713"/>
      <c r="G5873" s="713"/>
      <c r="H5873" s="713"/>
    </row>
    <row r="5874" spans="1:8" ht="12.75" customHeight="1">
      <c r="A5874" s="713" t="s">
        <v>613</v>
      </c>
      <c r="B5874" s="713"/>
      <c r="C5874" s="713"/>
      <c r="D5874" s="713"/>
      <c r="E5874" s="713"/>
      <c r="F5874" s="713"/>
      <c r="G5874" s="713"/>
      <c r="H5874" s="713"/>
    </row>
    <row r="5875" ht="15.75">
      <c r="H5875" s="11" t="s">
        <v>43</v>
      </c>
    </row>
    <row r="5876" ht="15.75">
      <c r="H5876" s="11" t="s">
        <v>44</v>
      </c>
    </row>
    <row r="5877" ht="15.75">
      <c r="H5877" s="11" t="s">
        <v>45</v>
      </c>
    </row>
    <row r="5878" ht="15.75">
      <c r="H5878" s="594" t="s">
        <v>614</v>
      </c>
    </row>
    <row r="5879" ht="15.75">
      <c r="H5879" s="11" t="s">
        <v>615</v>
      </c>
    </row>
    <row r="5880" ht="15.75">
      <c r="H5880" s="11" t="s">
        <v>47</v>
      </c>
    </row>
    <row r="5881" ht="15.75">
      <c r="A5881" s="595"/>
    </row>
    <row r="5882" ht="15.75">
      <c r="A5882" s="3" t="s">
        <v>14</v>
      </c>
    </row>
    <row r="5883" spans="1:8" ht="12.75" customHeight="1">
      <c r="A5883" s="717" t="s">
        <v>0</v>
      </c>
      <c r="B5883" s="714"/>
      <c r="C5883" s="714"/>
      <c r="D5883" s="714"/>
      <c r="E5883" s="714"/>
      <c r="F5883" s="714"/>
      <c r="G5883" s="714"/>
      <c r="H5883" s="714"/>
    </row>
    <row r="5884" spans="1:8" ht="16.5" thickBot="1">
      <c r="A5884" s="597"/>
      <c r="B5884" s="597"/>
      <c r="C5884" s="598"/>
      <c r="D5884" s="598"/>
      <c r="E5884" s="598"/>
      <c r="F5884" s="598"/>
      <c r="G5884" s="598"/>
      <c r="H5884" s="598"/>
    </row>
    <row r="5885" spans="1:8" ht="12.75" customHeight="1">
      <c r="A5885" s="708" t="s">
        <v>617</v>
      </c>
      <c r="B5885" s="710" t="s">
        <v>618</v>
      </c>
      <c r="C5885" s="711" t="s">
        <v>619</v>
      </c>
      <c r="D5885" s="711"/>
      <c r="E5885" s="711"/>
      <c r="F5885" s="711"/>
      <c r="G5885" s="712" t="s">
        <v>620</v>
      </c>
      <c r="H5885" s="708" t="s">
        <v>621</v>
      </c>
    </row>
    <row r="5886" spans="1:8" ht="15.75">
      <c r="A5886" s="708"/>
      <c r="B5886" s="710"/>
      <c r="C5886" s="711"/>
      <c r="D5886" s="711"/>
      <c r="E5886" s="711"/>
      <c r="F5886" s="711"/>
      <c r="G5886" s="712"/>
      <c r="H5886" s="708"/>
    </row>
    <row r="5887" spans="1:8" ht="31.5">
      <c r="A5887" s="708"/>
      <c r="B5887" s="710"/>
      <c r="C5887" s="601" t="s">
        <v>622</v>
      </c>
      <c r="D5887" s="601" t="s">
        <v>623</v>
      </c>
      <c r="E5887" s="602" t="s">
        <v>622</v>
      </c>
      <c r="F5887" s="603" t="s">
        <v>623</v>
      </c>
      <c r="G5887" s="712"/>
      <c r="H5887" s="708"/>
    </row>
    <row r="5888" spans="1:8" ht="15.75">
      <c r="A5888" s="599">
        <v>1</v>
      </c>
      <c r="B5888" s="599">
        <v>2</v>
      </c>
      <c r="C5888" s="604">
        <v>3</v>
      </c>
      <c r="D5888" s="604">
        <v>4</v>
      </c>
      <c r="E5888" s="605"/>
      <c r="F5888" s="606"/>
      <c r="G5888" s="600">
        <v>5</v>
      </c>
      <c r="H5888" s="599">
        <v>6</v>
      </c>
    </row>
    <row r="5889" spans="1:8" ht="12.75" customHeight="1">
      <c r="A5889" s="607">
        <v>1</v>
      </c>
      <c r="B5889" s="709" t="s">
        <v>624</v>
      </c>
      <c r="C5889" s="709"/>
      <c r="D5889" s="709"/>
      <c r="E5889" s="709"/>
      <c r="F5889" s="709"/>
      <c r="G5889" s="709"/>
      <c r="H5889" s="709"/>
    </row>
    <row r="5890" spans="1:8" ht="15.75">
      <c r="A5890" s="608" t="s">
        <v>74</v>
      </c>
      <c r="B5890" s="609" t="s">
        <v>625</v>
      </c>
      <c r="C5890" s="610" t="s">
        <v>379</v>
      </c>
      <c r="D5890" s="610" t="s">
        <v>379</v>
      </c>
      <c r="E5890" s="610" t="s">
        <v>379</v>
      </c>
      <c r="F5890" s="610" t="s">
        <v>379</v>
      </c>
      <c r="G5890" s="610" t="s">
        <v>379</v>
      </c>
      <c r="H5890" s="611" t="s">
        <v>626</v>
      </c>
    </row>
    <row r="5891" spans="1:8" ht="15.75">
      <c r="A5891" s="608" t="s">
        <v>313</v>
      </c>
      <c r="B5891" s="609" t="s">
        <v>627</v>
      </c>
      <c r="C5891" s="610" t="s">
        <v>379</v>
      </c>
      <c r="D5891" s="610" t="s">
        <v>379</v>
      </c>
      <c r="E5891" s="610" t="s">
        <v>379</v>
      </c>
      <c r="F5891" s="610" t="s">
        <v>379</v>
      </c>
      <c r="G5891" s="610" t="s">
        <v>379</v>
      </c>
      <c r="H5891" s="611" t="s">
        <v>626</v>
      </c>
    </row>
    <row r="5892" spans="1:8" ht="31.5">
      <c r="A5892" s="608" t="s">
        <v>315</v>
      </c>
      <c r="B5892" s="612" t="s">
        <v>628</v>
      </c>
      <c r="C5892" s="610" t="s">
        <v>379</v>
      </c>
      <c r="D5892" s="610" t="s">
        <v>379</v>
      </c>
      <c r="E5892" s="610" t="s">
        <v>379</v>
      </c>
      <c r="F5892" s="610" t="s">
        <v>379</v>
      </c>
      <c r="G5892" s="610" t="s">
        <v>379</v>
      </c>
      <c r="H5892" s="611" t="s">
        <v>626</v>
      </c>
    </row>
    <row r="5893" spans="1:8" ht="47.25">
      <c r="A5893" s="608" t="s">
        <v>317</v>
      </c>
      <c r="B5893" s="612" t="s">
        <v>629</v>
      </c>
      <c r="C5893" s="610" t="s">
        <v>379</v>
      </c>
      <c r="D5893" s="610" t="s">
        <v>379</v>
      </c>
      <c r="E5893" s="610" t="s">
        <v>379</v>
      </c>
      <c r="F5893" s="610" t="s">
        <v>379</v>
      </c>
      <c r="G5893" s="610" t="s">
        <v>379</v>
      </c>
      <c r="H5893" s="611" t="s">
        <v>626</v>
      </c>
    </row>
    <row r="5894" spans="1:8" ht="15.75">
      <c r="A5894" s="608" t="s">
        <v>630</v>
      </c>
      <c r="B5894" s="613" t="s">
        <v>631</v>
      </c>
      <c r="C5894" s="610" t="s">
        <v>379</v>
      </c>
      <c r="D5894" s="610" t="s">
        <v>379</v>
      </c>
      <c r="E5894" s="610" t="s">
        <v>379</v>
      </c>
      <c r="F5894" s="610" t="s">
        <v>379</v>
      </c>
      <c r="G5894" s="610" t="s">
        <v>379</v>
      </c>
      <c r="H5894" s="611" t="s">
        <v>626</v>
      </c>
    </row>
    <row r="5895" spans="1:8" ht="15.75">
      <c r="A5895" s="608" t="s">
        <v>632</v>
      </c>
      <c r="B5895" s="613" t="s">
        <v>633</v>
      </c>
      <c r="C5895" s="610" t="s">
        <v>379</v>
      </c>
      <c r="D5895" s="610" t="s">
        <v>379</v>
      </c>
      <c r="E5895" s="610" t="s">
        <v>379</v>
      </c>
      <c r="F5895" s="610" t="s">
        <v>379</v>
      </c>
      <c r="G5895" s="610" t="s">
        <v>379</v>
      </c>
      <c r="H5895" s="611" t="s">
        <v>626</v>
      </c>
    </row>
    <row r="5896" spans="1:8" ht="12.75" customHeight="1">
      <c r="A5896" s="608">
        <v>2</v>
      </c>
      <c r="B5896" s="706" t="s">
        <v>634</v>
      </c>
      <c r="C5896" s="706"/>
      <c r="D5896" s="706"/>
      <c r="E5896" s="706"/>
      <c r="F5896" s="706"/>
      <c r="G5896" s="706"/>
      <c r="H5896" s="706"/>
    </row>
    <row r="5897" spans="1:8" ht="31.5">
      <c r="A5897" s="608" t="s">
        <v>321</v>
      </c>
      <c r="B5897" s="612" t="s">
        <v>635</v>
      </c>
      <c r="C5897" s="610" t="s">
        <v>721</v>
      </c>
      <c r="D5897" s="610" t="s">
        <v>852</v>
      </c>
      <c r="E5897" s="610" t="s">
        <v>379</v>
      </c>
      <c r="F5897" s="610" t="s">
        <v>379</v>
      </c>
      <c r="G5897" s="614">
        <v>0</v>
      </c>
      <c r="H5897" s="611"/>
    </row>
    <row r="5898" spans="1:8" ht="47.25">
      <c r="A5898" s="608" t="s">
        <v>325</v>
      </c>
      <c r="B5898" s="612" t="s">
        <v>638</v>
      </c>
      <c r="C5898" s="610" t="s">
        <v>379</v>
      </c>
      <c r="D5898" s="610" t="s">
        <v>379</v>
      </c>
      <c r="E5898" s="610" t="s">
        <v>379</v>
      </c>
      <c r="F5898" s="610" t="s">
        <v>379</v>
      </c>
      <c r="G5898" s="610" t="s">
        <v>379</v>
      </c>
      <c r="H5898" s="611" t="s">
        <v>626</v>
      </c>
    </row>
    <row r="5899" spans="1:8" ht="31.5">
      <c r="A5899" s="608" t="s">
        <v>639</v>
      </c>
      <c r="B5899" s="612" t="s">
        <v>640</v>
      </c>
      <c r="C5899" s="610" t="s">
        <v>379</v>
      </c>
      <c r="D5899" s="610" t="s">
        <v>379</v>
      </c>
      <c r="E5899" s="610" t="s">
        <v>379</v>
      </c>
      <c r="F5899" s="610" t="s">
        <v>379</v>
      </c>
      <c r="G5899" s="610" t="s">
        <v>379</v>
      </c>
      <c r="H5899" s="611" t="s">
        <v>626</v>
      </c>
    </row>
    <row r="5900" spans="1:8" ht="12.75" customHeight="1">
      <c r="A5900" s="608">
        <v>3</v>
      </c>
      <c r="B5900" s="706" t="s">
        <v>641</v>
      </c>
      <c r="C5900" s="706"/>
      <c r="D5900" s="706"/>
      <c r="E5900" s="706"/>
      <c r="F5900" s="706"/>
      <c r="G5900" s="706"/>
      <c r="H5900" s="706"/>
    </row>
    <row r="5901" spans="1:8" ht="31.5">
      <c r="A5901" s="608" t="s">
        <v>378</v>
      </c>
      <c r="B5901" s="613" t="s">
        <v>642</v>
      </c>
      <c r="C5901" s="610" t="s">
        <v>379</v>
      </c>
      <c r="D5901" s="610" t="s">
        <v>379</v>
      </c>
      <c r="E5901" s="610" t="s">
        <v>379</v>
      </c>
      <c r="F5901" s="610" t="s">
        <v>379</v>
      </c>
      <c r="G5901" s="610" t="s">
        <v>379</v>
      </c>
      <c r="H5901" s="611" t="s">
        <v>626</v>
      </c>
    </row>
    <row r="5902" spans="1:8" ht="15.75">
      <c r="A5902" s="608" t="s">
        <v>643</v>
      </c>
      <c r="B5902" s="613" t="s">
        <v>644</v>
      </c>
      <c r="C5902" s="610" t="s">
        <v>721</v>
      </c>
      <c r="D5902" s="610" t="s">
        <v>765</v>
      </c>
      <c r="E5902" s="610" t="s">
        <v>379</v>
      </c>
      <c r="F5902" s="610" t="s">
        <v>379</v>
      </c>
      <c r="G5902" s="614">
        <v>0</v>
      </c>
      <c r="H5902" s="611"/>
    </row>
    <row r="5903" spans="1:8" ht="15.75">
      <c r="A5903" s="608" t="s">
        <v>380</v>
      </c>
      <c r="B5903" s="613" t="s">
        <v>646</v>
      </c>
      <c r="C5903" s="610" t="s">
        <v>833</v>
      </c>
      <c r="D5903" s="610" t="s">
        <v>727</v>
      </c>
      <c r="E5903" s="610" t="s">
        <v>379</v>
      </c>
      <c r="F5903" s="610" t="s">
        <v>379</v>
      </c>
      <c r="G5903" s="614">
        <v>0</v>
      </c>
      <c r="H5903" s="611"/>
    </row>
    <row r="5904" spans="1:8" ht="15.75">
      <c r="A5904" s="608" t="s">
        <v>649</v>
      </c>
      <c r="B5904" s="613" t="s">
        <v>650</v>
      </c>
      <c r="C5904" s="610" t="s">
        <v>925</v>
      </c>
      <c r="D5904" s="610" t="s">
        <v>728</v>
      </c>
      <c r="E5904" s="610" t="s">
        <v>379</v>
      </c>
      <c r="F5904" s="610" t="s">
        <v>379</v>
      </c>
      <c r="G5904" s="614">
        <v>0</v>
      </c>
      <c r="H5904" s="611"/>
    </row>
    <row r="5905" spans="1:8" ht="15.75">
      <c r="A5905" s="608" t="s">
        <v>653</v>
      </c>
      <c r="B5905" s="613" t="s">
        <v>654</v>
      </c>
      <c r="C5905" s="610" t="s">
        <v>729</v>
      </c>
      <c r="D5905" s="610" t="s">
        <v>725</v>
      </c>
      <c r="E5905" s="610" t="s">
        <v>379</v>
      </c>
      <c r="F5905" s="610" t="s">
        <v>379</v>
      </c>
      <c r="G5905" s="614">
        <v>0</v>
      </c>
      <c r="H5905" s="611"/>
    </row>
    <row r="5906" spans="1:8" ht="12.75" customHeight="1">
      <c r="A5906" s="608">
        <v>4</v>
      </c>
      <c r="B5906" s="706" t="s">
        <v>656</v>
      </c>
      <c r="C5906" s="706"/>
      <c r="D5906" s="706"/>
      <c r="E5906" s="706"/>
      <c r="F5906" s="706"/>
      <c r="G5906" s="706"/>
      <c r="H5906" s="706"/>
    </row>
    <row r="5907" spans="1:8" ht="31.5">
      <c r="A5907" s="608" t="s">
        <v>657</v>
      </c>
      <c r="B5907" s="612" t="s">
        <v>658</v>
      </c>
      <c r="C5907" s="610" t="s">
        <v>379</v>
      </c>
      <c r="D5907" s="610" t="s">
        <v>379</v>
      </c>
      <c r="E5907" s="610" t="s">
        <v>379</v>
      </c>
      <c r="F5907" s="610" t="s">
        <v>379</v>
      </c>
      <c r="G5907" s="610" t="s">
        <v>379</v>
      </c>
      <c r="H5907" s="611" t="s">
        <v>626</v>
      </c>
    </row>
    <row r="5908" spans="1:8" ht="47.25">
      <c r="A5908" s="608" t="s">
        <v>659</v>
      </c>
      <c r="B5908" s="612" t="s">
        <v>660</v>
      </c>
      <c r="C5908" s="610" t="s">
        <v>379</v>
      </c>
      <c r="D5908" s="610" t="s">
        <v>379</v>
      </c>
      <c r="E5908" s="610" t="s">
        <v>379</v>
      </c>
      <c r="F5908" s="610" t="s">
        <v>379</v>
      </c>
      <c r="G5908" s="610" t="s">
        <v>379</v>
      </c>
      <c r="H5908" s="611" t="s">
        <v>626</v>
      </c>
    </row>
    <row r="5909" spans="1:8" ht="31.5">
      <c r="A5909" s="608" t="s">
        <v>661</v>
      </c>
      <c r="B5909" s="613" t="s">
        <v>662</v>
      </c>
      <c r="C5909" s="610" t="s">
        <v>851</v>
      </c>
      <c r="D5909" s="610" t="s">
        <v>6</v>
      </c>
      <c r="E5909" s="610" t="s">
        <v>379</v>
      </c>
      <c r="F5909" s="610" t="s">
        <v>379</v>
      </c>
      <c r="G5909" s="614">
        <v>0</v>
      </c>
      <c r="H5909" s="611"/>
    </row>
    <row r="5910" spans="1:8" ht="31.5">
      <c r="A5910" s="615" t="s">
        <v>663</v>
      </c>
      <c r="B5910" s="616" t="s">
        <v>664</v>
      </c>
      <c r="C5910" s="617" t="s">
        <v>740</v>
      </c>
      <c r="D5910" s="617" t="s">
        <v>7</v>
      </c>
      <c r="E5910" s="617" t="s">
        <v>379</v>
      </c>
      <c r="F5910" s="617" t="s">
        <v>379</v>
      </c>
      <c r="G5910" s="623">
        <v>0</v>
      </c>
      <c r="H5910" s="618"/>
    </row>
    <row r="5911" spans="1:8" ht="15.75">
      <c r="A5911" s="619"/>
      <c r="B5911" s="620"/>
      <c r="C5911" s="621"/>
      <c r="D5911" s="621"/>
      <c r="E5911" s="621"/>
      <c r="F5911" s="621"/>
      <c r="G5911" s="621"/>
      <c r="H5911" s="148"/>
    </row>
    <row r="5912" spans="1:8" ht="12.75" customHeight="1">
      <c r="A5912" s="707" t="s">
        <v>665</v>
      </c>
      <c r="B5912" s="707"/>
      <c r="C5912" s="707"/>
      <c r="D5912" s="707"/>
      <c r="E5912" s="707"/>
      <c r="F5912" s="707"/>
      <c r="G5912" s="707"/>
      <c r="H5912" s="707"/>
    </row>
    <row r="5913" spans="1:8" ht="15.75">
      <c r="A5913" s="622"/>
      <c r="B5913" s="622"/>
      <c r="C5913" s="622"/>
      <c r="D5913" s="622"/>
      <c r="E5913" s="622"/>
      <c r="F5913" s="622"/>
      <c r="G5913" s="622"/>
      <c r="H5913" s="622"/>
    </row>
    <row r="5914" spans="1:8" ht="15.75">
      <c r="A5914" s="622"/>
      <c r="B5914" s="622"/>
      <c r="C5914" s="622"/>
      <c r="D5914" s="622"/>
      <c r="E5914" s="622"/>
      <c r="F5914" s="622"/>
      <c r="G5914" s="622"/>
      <c r="H5914" s="622"/>
    </row>
    <row r="5915" spans="1:8" ht="15.75">
      <c r="A5915" s="622"/>
      <c r="B5915" s="622"/>
      <c r="C5915" s="622"/>
      <c r="D5915" s="622"/>
      <c r="E5915" s="622"/>
      <c r="F5915" s="622"/>
      <c r="G5915" s="622"/>
      <c r="H5915" s="622"/>
    </row>
    <row r="5916" spans="1:8" ht="15.75">
      <c r="A5916" s="622"/>
      <c r="B5916" s="622"/>
      <c r="C5916" s="622"/>
      <c r="D5916" s="622"/>
      <c r="E5916" s="622"/>
      <c r="F5916" s="622"/>
      <c r="G5916" s="622"/>
      <c r="H5916" s="622"/>
    </row>
    <row r="5917" ht="15.75">
      <c r="H5917" s="11" t="s">
        <v>609</v>
      </c>
    </row>
    <row r="5918" ht="15.75">
      <c r="H5918" s="11" t="s">
        <v>610</v>
      </c>
    </row>
    <row r="5919" ht="15.75">
      <c r="H5919" s="11" t="s">
        <v>611</v>
      </c>
    </row>
    <row r="5920" ht="15.75">
      <c r="H5920" s="11"/>
    </row>
    <row r="5921" spans="1:8" ht="12.75" customHeight="1">
      <c r="A5921" s="713" t="s">
        <v>612</v>
      </c>
      <c r="B5921" s="713"/>
      <c r="C5921" s="713"/>
      <c r="D5921" s="713"/>
      <c r="E5921" s="713"/>
      <c r="F5921" s="713"/>
      <c r="G5921" s="713"/>
      <c r="H5921" s="713"/>
    </row>
    <row r="5922" spans="1:8" ht="12.75" customHeight="1">
      <c r="A5922" s="713" t="s">
        <v>613</v>
      </c>
      <c r="B5922" s="713"/>
      <c r="C5922" s="713"/>
      <c r="D5922" s="713"/>
      <c r="E5922" s="713"/>
      <c r="F5922" s="713"/>
      <c r="G5922" s="713"/>
      <c r="H5922" s="713"/>
    </row>
    <row r="5923" ht="15.75">
      <c r="H5923" s="11" t="s">
        <v>43</v>
      </c>
    </row>
    <row r="5924" ht="15.75">
      <c r="H5924" s="11" t="s">
        <v>44</v>
      </c>
    </row>
    <row r="5925" ht="15.75">
      <c r="H5925" s="11" t="s">
        <v>45</v>
      </c>
    </row>
    <row r="5926" ht="15.75">
      <c r="H5926" s="594" t="s">
        <v>614</v>
      </c>
    </row>
    <row r="5927" ht="15.75">
      <c r="H5927" s="11" t="s">
        <v>615</v>
      </c>
    </row>
    <row r="5928" ht="15.75">
      <c r="H5928" s="11" t="s">
        <v>47</v>
      </c>
    </row>
    <row r="5929" ht="15.75">
      <c r="A5929" s="595"/>
    </row>
    <row r="5930" ht="15.75">
      <c r="A5930" s="567" t="s">
        <v>15</v>
      </c>
    </row>
    <row r="5931" spans="1:8" ht="12.75" customHeight="1">
      <c r="A5931" s="717" t="s">
        <v>0</v>
      </c>
      <c r="B5931" s="714"/>
      <c r="C5931" s="714"/>
      <c r="D5931" s="714"/>
      <c r="E5931" s="714"/>
      <c r="F5931" s="714"/>
      <c r="G5931" s="714"/>
      <c r="H5931" s="714"/>
    </row>
    <row r="5932" spans="1:8" ht="16.5" thickBot="1">
      <c r="A5932" s="597"/>
      <c r="B5932" s="597"/>
      <c r="C5932" s="598"/>
      <c r="D5932" s="598"/>
      <c r="E5932" s="598"/>
      <c r="F5932" s="598"/>
      <c r="G5932" s="598"/>
      <c r="H5932" s="598"/>
    </row>
    <row r="5933" spans="1:8" ht="12.75" customHeight="1">
      <c r="A5933" s="708" t="s">
        <v>617</v>
      </c>
      <c r="B5933" s="710" t="s">
        <v>618</v>
      </c>
      <c r="C5933" s="711" t="s">
        <v>619</v>
      </c>
      <c r="D5933" s="711"/>
      <c r="E5933" s="711"/>
      <c r="F5933" s="711"/>
      <c r="G5933" s="712" t="s">
        <v>620</v>
      </c>
      <c r="H5933" s="708" t="s">
        <v>621</v>
      </c>
    </row>
    <row r="5934" spans="1:8" ht="15.75">
      <c r="A5934" s="708"/>
      <c r="B5934" s="710"/>
      <c r="C5934" s="711"/>
      <c r="D5934" s="711"/>
      <c r="E5934" s="711"/>
      <c r="F5934" s="711"/>
      <c r="G5934" s="712"/>
      <c r="H5934" s="708"/>
    </row>
    <row r="5935" spans="1:8" ht="31.5">
      <c r="A5935" s="708"/>
      <c r="B5935" s="710"/>
      <c r="C5935" s="601" t="s">
        <v>622</v>
      </c>
      <c r="D5935" s="601" t="s">
        <v>623</v>
      </c>
      <c r="E5935" s="602" t="s">
        <v>622</v>
      </c>
      <c r="F5935" s="603" t="s">
        <v>623</v>
      </c>
      <c r="G5935" s="712"/>
      <c r="H5935" s="708"/>
    </row>
    <row r="5936" spans="1:8" ht="15.75">
      <c r="A5936" s="599">
        <v>1</v>
      </c>
      <c r="B5936" s="599">
        <v>2</v>
      </c>
      <c r="C5936" s="604">
        <v>3</v>
      </c>
      <c r="D5936" s="604">
        <v>4</v>
      </c>
      <c r="E5936" s="605"/>
      <c r="F5936" s="606"/>
      <c r="G5936" s="600">
        <v>5</v>
      </c>
      <c r="H5936" s="599">
        <v>6</v>
      </c>
    </row>
    <row r="5937" spans="1:8" ht="12.75" customHeight="1">
      <c r="A5937" s="607">
        <v>1</v>
      </c>
      <c r="B5937" s="709" t="s">
        <v>624</v>
      </c>
      <c r="C5937" s="709"/>
      <c r="D5937" s="709"/>
      <c r="E5937" s="709"/>
      <c r="F5937" s="709"/>
      <c r="G5937" s="709"/>
      <c r="H5937" s="709"/>
    </row>
    <row r="5938" spans="1:8" ht="15.75">
      <c r="A5938" s="608" t="s">
        <v>74</v>
      </c>
      <c r="B5938" s="609" t="s">
        <v>625</v>
      </c>
      <c r="C5938" s="610" t="s">
        <v>379</v>
      </c>
      <c r="D5938" s="610" t="s">
        <v>379</v>
      </c>
      <c r="E5938" s="610" t="s">
        <v>379</v>
      </c>
      <c r="F5938" s="610" t="s">
        <v>379</v>
      </c>
      <c r="G5938" s="610" t="s">
        <v>379</v>
      </c>
      <c r="H5938" s="611" t="s">
        <v>626</v>
      </c>
    </row>
    <row r="5939" spans="1:8" ht="15.75">
      <c r="A5939" s="608" t="s">
        <v>313</v>
      </c>
      <c r="B5939" s="609" t="s">
        <v>627</v>
      </c>
      <c r="C5939" s="610" t="s">
        <v>379</v>
      </c>
      <c r="D5939" s="610" t="s">
        <v>379</v>
      </c>
      <c r="E5939" s="610" t="s">
        <v>379</v>
      </c>
      <c r="F5939" s="610" t="s">
        <v>379</v>
      </c>
      <c r="G5939" s="610" t="s">
        <v>379</v>
      </c>
      <c r="H5939" s="611" t="s">
        <v>626</v>
      </c>
    </row>
    <row r="5940" spans="1:8" ht="31.5">
      <c r="A5940" s="608" t="s">
        <v>315</v>
      </c>
      <c r="B5940" s="612" t="s">
        <v>628</v>
      </c>
      <c r="C5940" s="610" t="s">
        <v>379</v>
      </c>
      <c r="D5940" s="610" t="s">
        <v>379</v>
      </c>
      <c r="E5940" s="610" t="s">
        <v>379</v>
      </c>
      <c r="F5940" s="610" t="s">
        <v>379</v>
      </c>
      <c r="G5940" s="610" t="s">
        <v>379</v>
      </c>
      <c r="H5940" s="611" t="s">
        <v>626</v>
      </c>
    </row>
    <row r="5941" spans="1:8" ht="47.25">
      <c r="A5941" s="608" t="s">
        <v>317</v>
      </c>
      <c r="B5941" s="612" t="s">
        <v>629</v>
      </c>
      <c r="C5941" s="610" t="s">
        <v>379</v>
      </c>
      <c r="D5941" s="610" t="s">
        <v>379</v>
      </c>
      <c r="E5941" s="610" t="s">
        <v>379</v>
      </c>
      <c r="F5941" s="610" t="s">
        <v>379</v>
      </c>
      <c r="G5941" s="610" t="s">
        <v>379</v>
      </c>
      <c r="H5941" s="611" t="s">
        <v>626</v>
      </c>
    </row>
    <row r="5942" spans="1:8" ht="15.75">
      <c r="A5942" s="608" t="s">
        <v>630</v>
      </c>
      <c r="B5942" s="613" t="s">
        <v>631</v>
      </c>
      <c r="C5942" s="610" t="s">
        <v>379</v>
      </c>
      <c r="D5942" s="610" t="s">
        <v>379</v>
      </c>
      <c r="E5942" s="610" t="s">
        <v>379</v>
      </c>
      <c r="F5942" s="610" t="s">
        <v>379</v>
      </c>
      <c r="G5942" s="610" t="s">
        <v>379</v>
      </c>
      <c r="H5942" s="611" t="s">
        <v>626</v>
      </c>
    </row>
    <row r="5943" spans="1:8" ht="15.75">
      <c r="A5943" s="608" t="s">
        <v>632</v>
      </c>
      <c r="B5943" s="613" t="s">
        <v>633</v>
      </c>
      <c r="C5943" s="610" t="s">
        <v>379</v>
      </c>
      <c r="D5943" s="610" t="s">
        <v>379</v>
      </c>
      <c r="E5943" s="610" t="s">
        <v>379</v>
      </c>
      <c r="F5943" s="610" t="s">
        <v>379</v>
      </c>
      <c r="G5943" s="610" t="s">
        <v>379</v>
      </c>
      <c r="H5943" s="611" t="s">
        <v>626</v>
      </c>
    </row>
    <row r="5944" spans="1:8" ht="12.75" customHeight="1">
      <c r="A5944" s="608">
        <v>2</v>
      </c>
      <c r="B5944" s="706" t="s">
        <v>634</v>
      </c>
      <c r="C5944" s="706"/>
      <c r="D5944" s="706"/>
      <c r="E5944" s="706"/>
      <c r="F5944" s="706"/>
      <c r="G5944" s="706"/>
      <c r="H5944" s="706"/>
    </row>
    <row r="5945" spans="1:8" ht="31.5">
      <c r="A5945" s="608" t="s">
        <v>321</v>
      </c>
      <c r="B5945" s="612" t="s">
        <v>635</v>
      </c>
      <c r="C5945" s="610" t="s">
        <v>776</v>
      </c>
      <c r="D5945" s="610" t="s">
        <v>677</v>
      </c>
      <c r="E5945" s="610" t="s">
        <v>379</v>
      </c>
      <c r="F5945" s="610" t="s">
        <v>379</v>
      </c>
      <c r="G5945" s="614">
        <v>0</v>
      </c>
      <c r="H5945" s="611"/>
    </row>
    <row r="5946" spans="1:8" ht="47.25">
      <c r="A5946" s="608" t="s">
        <v>325</v>
      </c>
      <c r="B5946" s="612" t="s">
        <v>638</v>
      </c>
      <c r="C5946" s="610" t="s">
        <v>379</v>
      </c>
      <c r="D5946" s="610" t="s">
        <v>379</v>
      </c>
      <c r="E5946" s="610" t="s">
        <v>379</v>
      </c>
      <c r="F5946" s="610" t="s">
        <v>379</v>
      </c>
      <c r="G5946" s="610" t="s">
        <v>379</v>
      </c>
      <c r="H5946" s="611" t="s">
        <v>626</v>
      </c>
    </row>
    <row r="5947" spans="1:8" ht="31.5">
      <c r="A5947" s="608" t="s">
        <v>639</v>
      </c>
      <c r="B5947" s="612" t="s">
        <v>640</v>
      </c>
      <c r="C5947" s="610" t="s">
        <v>379</v>
      </c>
      <c r="D5947" s="610" t="s">
        <v>379</v>
      </c>
      <c r="E5947" s="610" t="s">
        <v>379</v>
      </c>
      <c r="F5947" s="610" t="s">
        <v>379</v>
      </c>
      <c r="G5947" s="610" t="s">
        <v>379</v>
      </c>
      <c r="H5947" s="611" t="s">
        <v>626</v>
      </c>
    </row>
    <row r="5948" spans="1:8" ht="12.75" customHeight="1">
      <c r="A5948" s="608">
        <v>3</v>
      </c>
      <c r="B5948" s="706" t="s">
        <v>641</v>
      </c>
      <c r="C5948" s="706"/>
      <c r="D5948" s="706"/>
      <c r="E5948" s="706"/>
      <c r="F5948" s="706"/>
      <c r="G5948" s="706"/>
      <c r="H5948" s="706"/>
    </row>
    <row r="5949" spans="1:8" ht="31.5">
      <c r="A5949" s="608" t="s">
        <v>378</v>
      </c>
      <c r="B5949" s="613" t="s">
        <v>642</v>
      </c>
      <c r="C5949" s="610" t="s">
        <v>379</v>
      </c>
      <c r="D5949" s="610" t="s">
        <v>379</v>
      </c>
      <c r="E5949" s="610" t="s">
        <v>379</v>
      </c>
      <c r="F5949" s="610" t="s">
        <v>379</v>
      </c>
      <c r="G5949" s="610" t="s">
        <v>379</v>
      </c>
      <c r="H5949" s="611" t="s">
        <v>626</v>
      </c>
    </row>
    <row r="5950" spans="1:8" ht="15.75">
      <c r="A5950" s="608" t="s">
        <v>643</v>
      </c>
      <c r="B5950" s="613" t="s">
        <v>644</v>
      </c>
      <c r="C5950" s="610" t="s">
        <v>776</v>
      </c>
      <c r="D5950" s="610" t="s">
        <v>698</v>
      </c>
      <c r="E5950" s="610" t="s">
        <v>379</v>
      </c>
      <c r="F5950" s="610" t="s">
        <v>379</v>
      </c>
      <c r="G5950" s="614">
        <v>0</v>
      </c>
      <c r="H5950" s="611"/>
    </row>
    <row r="5951" spans="1:8" ht="15.75">
      <c r="A5951" s="608" t="s">
        <v>380</v>
      </c>
      <c r="B5951" s="613" t="s">
        <v>646</v>
      </c>
      <c r="C5951" s="610" t="s">
        <v>699</v>
      </c>
      <c r="D5951" s="610" t="s">
        <v>16</v>
      </c>
      <c r="E5951" s="610" t="s">
        <v>379</v>
      </c>
      <c r="F5951" s="610" t="s">
        <v>379</v>
      </c>
      <c r="G5951" s="614">
        <v>0</v>
      </c>
      <c r="H5951" s="611"/>
    </row>
    <row r="5952" spans="1:8" ht="15.75">
      <c r="A5952" s="608" t="s">
        <v>649</v>
      </c>
      <c r="B5952" s="613" t="s">
        <v>650</v>
      </c>
      <c r="C5952" s="610" t="s">
        <v>16</v>
      </c>
      <c r="D5952" s="610" t="s">
        <v>17</v>
      </c>
      <c r="E5952" s="610" t="s">
        <v>379</v>
      </c>
      <c r="F5952" s="610" t="s">
        <v>379</v>
      </c>
      <c r="G5952" s="614">
        <v>0</v>
      </c>
      <c r="H5952" s="611"/>
    </row>
    <row r="5953" spans="1:8" ht="15.75">
      <c r="A5953" s="608" t="s">
        <v>653</v>
      </c>
      <c r="B5953" s="613" t="s">
        <v>654</v>
      </c>
      <c r="C5953" s="610" t="s">
        <v>18</v>
      </c>
      <c r="D5953" s="610" t="s">
        <v>19</v>
      </c>
      <c r="E5953" s="610" t="s">
        <v>379</v>
      </c>
      <c r="F5953" s="610" t="s">
        <v>379</v>
      </c>
      <c r="G5953" s="614">
        <v>0</v>
      </c>
      <c r="H5953" s="611"/>
    </row>
    <row r="5954" spans="1:8" ht="12.75" customHeight="1">
      <c r="A5954" s="608">
        <v>4</v>
      </c>
      <c r="B5954" s="706" t="s">
        <v>656</v>
      </c>
      <c r="C5954" s="706"/>
      <c r="D5954" s="706"/>
      <c r="E5954" s="706"/>
      <c r="F5954" s="706"/>
      <c r="G5954" s="706"/>
      <c r="H5954" s="706"/>
    </row>
    <row r="5955" spans="1:8" ht="31.5">
      <c r="A5955" s="608" t="s">
        <v>657</v>
      </c>
      <c r="B5955" s="612" t="s">
        <v>658</v>
      </c>
      <c r="C5955" s="610" t="s">
        <v>379</v>
      </c>
      <c r="D5955" s="610" t="s">
        <v>379</v>
      </c>
      <c r="E5955" s="610" t="s">
        <v>379</v>
      </c>
      <c r="F5955" s="610" t="s">
        <v>379</v>
      </c>
      <c r="G5955" s="610" t="s">
        <v>379</v>
      </c>
      <c r="H5955" s="611" t="s">
        <v>626</v>
      </c>
    </row>
    <row r="5956" spans="1:8" ht="47.25">
      <c r="A5956" s="608" t="s">
        <v>659</v>
      </c>
      <c r="B5956" s="612" t="s">
        <v>660</v>
      </c>
      <c r="C5956" s="610" t="s">
        <v>379</v>
      </c>
      <c r="D5956" s="610" t="s">
        <v>379</v>
      </c>
      <c r="E5956" s="610" t="s">
        <v>379</v>
      </c>
      <c r="F5956" s="610" t="s">
        <v>379</v>
      </c>
      <c r="G5956" s="610" t="s">
        <v>379</v>
      </c>
      <c r="H5956" s="611" t="s">
        <v>626</v>
      </c>
    </row>
    <row r="5957" spans="1:8" ht="31.5">
      <c r="A5957" s="608" t="s">
        <v>661</v>
      </c>
      <c r="B5957" s="613" t="s">
        <v>662</v>
      </c>
      <c r="C5957" s="610" t="s">
        <v>379</v>
      </c>
      <c r="D5957" s="610" t="s">
        <v>379</v>
      </c>
      <c r="E5957" s="610" t="s">
        <v>379</v>
      </c>
      <c r="F5957" s="610" t="s">
        <v>379</v>
      </c>
      <c r="G5957" s="610" t="s">
        <v>379</v>
      </c>
      <c r="H5957" s="611" t="s">
        <v>626</v>
      </c>
    </row>
    <row r="5958" spans="1:8" ht="31.5">
      <c r="A5958" s="615" t="s">
        <v>663</v>
      </c>
      <c r="B5958" s="616" t="s">
        <v>664</v>
      </c>
      <c r="C5958" s="617" t="s">
        <v>20</v>
      </c>
      <c r="D5958" s="617" t="s">
        <v>21</v>
      </c>
      <c r="E5958" s="617" t="s">
        <v>379</v>
      </c>
      <c r="F5958" s="617" t="s">
        <v>379</v>
      </c>
      <c r="G5958" s="623">
        <v>0</v>
      </c>
      <c r="H5958" s="618" t="s">
        <v>37</v>
      </c>
    </row>
    <row r="5959" spans="1:8" ht="15.75">
      <c r="A5959" s="619"/>
      <c r="B5959" s="620"/>
      <c r="C5959" s="621"/>
      <c r="D5959" s="621"/>
      <c r="E5959" s="621"/>
      <c r="F5959" s="621"/>
      <c r="G5959" s="621"/>
      <c r="H5959" s="148"/>
    </row>
    <row r="5960" spans="1:8" ht="12.75" customHeight="1">
      <c r="A5960" s="707" t="s">
        <v>665</v>
      </c>
      <c r="B5960" s="707"/>
      <c r="C5960" s="707"/>
      <c r="D5960" s="707"/>
      <c r="E5960" s="707"/>
      <c r="F5960" s="707"/>
      <c r="G5960" s="707"/>
      <c r="H5960" s="707"/>
    </row>
    <row r="5961" spans="1:8" ht="15.75">
      <c r="A5961" s="622"/>
      <c r="B5961" s="622"/>
      <c r="C5961" s="622"/>
      <c r="D5961" s="622"/>
      <c r="E5961" s="622"/>
      <c r="F5961" s="622"/>
      <c r="G5961" s="622"/>
      <c r="H5961" s="622"/>
    </row>
    <row r="5962" spans="1:8" ht="15.75">
      <c r="A5962" s="622"/>
      <c r="B5962" s="622"/>
      <c r="C5962" s="622"/>
      <c r="D5962" s="622"/>
      <c r="E5962" s="622"/>
      <c r="F5962" s="622"/>
      <c r="G5962" s="622"/>
      <c r="H5962" s="622"/>
    </row>
    <row r="5964" ht="15.75">
      <c r="H5964" s="11" t="s">
        <v>609</v>
      </c>
    </row>
    <row r="5965" ht="15.75">
      <c r="H5965" s="11" t="s">
        <v>610</v>
      </c>
    </row>
    <row r="5966" ht="15.75">
      <c r="H5966" s="11" t="s">
        <v>611</v>
      </c>
    </row>
    <row r="5967" ht="15.75">
      <c r="H5967" s="11"/>
    </row>
    <row r="5968" spans="1:8" ht="12.75" customHeight="1">
      <c r="A5968" s="713" t="s">
        <v>612</v>
      </c>
      <c r="B5968" s="713"/>
      <c r="C5968" s="713"/>
      <c r="D5968" s="713"/>
      <c r="E5968" s="713"/>
      <c r="F5968" s="713"/>
      <c r="G5968" s="713"/>
      <c r="H5968" s="713"/>
    </row>
    <row r="5969" spans="1:8" ht="12.75" customHeight="1">
      <c r="A5969" s="713" t="s">
        <v>613</v>
      </c>
      <c r="B5969" s="713"/>
      <c r="C5969" s="713"/>
      <c r="D5969" s="713"/>
      <c r="E5969" s="713"/>
      <c r="F5969" s="713"/>
      <c r="G5969" s="713"/>
      <c r="H5969" s="713"/>
    </row>
    <row r="5970" ht="15.75">
      <c r="H5970" s="11" t="s">
        <v>43</v>
      </c>
    </row>
    <row r="5971" ht="15.75">
      <c r="H5971" s="11" t="s">
        <v>44</v>
      </c>
    </row>
    <row r="5972" ht="15.75">
      <c r="H5972" s="11" t="s">
        <v>45</v>
      </c>
    </row>
    <row r="5973" ht="15.75">
      <c r="H5973" s="594" t="s">
        <v>614</v>
      </c>
    </row>
    <row r="5974" ht="15.75">
      <c r="H5974" s="11" t="s">
        <v>615</v>
      </c>
    </row>
    <row r="5975" ht="15.75">
      <c r="H5975" s="11" t="s">
        <v>47</v>
      </c>
    </row>
    <row r="5976" ht="15.75">
      <c r="A5976" s="595"/>
    </row>
    <row r="5977" ht="15.75">
      <c r="A5977" s="3" t="s">
        <v>15</v>
      </c>
    </row>
    <row r="5978" spans="1:8" ht="12.75" customHeight="1">
      <c r="A5978" s="717" t="s">
        <v>0</v>
      </c>
      <c r="B5978" s="714"/>
      <c r="C5978" s="714"/>
      <c r="D5978" s="714"/>
      <c r="E5978" s="714"/>
      <c r="F5978" s="714"/>
      <c r="G5978" s="714"/>
      <c r="H5978" s="714"/>
    </row>
    <row r="5979" spans="1:8" ht="16.5" thickBot="1">
      <c r="A5979" s="597"/>
      <c r="B5979" s="597"/>
      <c r="C5979" s="598"/>
      <c r="D5979" s="598"/>
      <c r="E5979" s="598"/>
      <c r="F5979" s="598"/>
      <c r="G5979" s="598"/>
      <c r="H5979" s="598"/>
    </row>
    <row r="5980" spans="1:8" ht="12.75" customHeight="1">
      <c r="A5980" s="708" t="s">
        <v>617</v>
      </c>
      <c r="B5980" s="710" t="s">
        <v>618</v>
      </c>
      <c r="C5980" s="711" t="s">
        <v>619</v>
      </c>
      <c r="D5980" s="711"/>
      <c r="E5980" s="711"/>
      <c r="F5980" s="711"/>
      <c r="G5980" s="712" t="s">
        <v>620</v>
      </c>
      <c r="H5980" s="708" t="s">
        <v>621</v>
      </c>
    </row>
    <row r="5981" spans="1:8" ht="15.75">
      <c r="A5981" s="708"/>
      <c r="B5981" s="710"/>
      <c r="C5981" s="711"/>
      <c r="D5981" s="711"/>
      <c r="E5981" s="711"/>
      <c r="F5981" s="711"/>
      <c r="G5981" s="712"/>
      <c r="H5981" s="708"/>
    </row>
    <row r="5982" spans="1:8" ht="31.5">
      <c r="A5982" s="708"/>
      <c r="B5982" s="710"/>
      <c r="C5982" s="601" t="s">
        <v>622</v>
      </c>
      <c r="D5982" s="601" t="s">
        <v>623</v>
      </c>
      <c r="E5982" s="602" t="s">
        <v>622</v>
      </c>
      <c r="F5982" s="603" t="s">
        <v>623</v>
      </c>
      <c r="G5982" s="712"/>
      <c r="H5982" s="708"/>
    </row>
    <row r="5983" spans="1:8" ht="15.75">
      <c r="A5983" s="599">
        <v>1</v>
      </c>
      <c r="B5983" s="599">
        <v>2</v>
      </c>
      <c r="C5983" s="604">
        <v>3</v>
      </c>
      <c r="D5983" s="604">
        <v>4</v>
      </c>
      <c r="E5983" s="605"/>
      <c r="F5983" s="606"/>
      <c r="G5983" s="600">
        <v>5</v>
      </c>
      <c r="H5983" s="599">
        <v>6</v>
      </c>
    </row>
    <row r="5984" spans="1:8" ht="12.75" customHeight="1">
      <c r="A5984" s="607">
        <v>1</v>
      </c>
      <c r="B5984" s="709" t="s">
        <v>624</v>
      </c>
      <c r="C5984" s="709"/>
      <c r="D5984" s="709"/>
      <c r="E5984" s="709"/>
      <c r="F5984" s="709"/>
      <c r="G5984" s="709"/>
      <c r="H5984" s="709"/>
    </row>
    <row r="5985" spans="1:8" ht="15.75">
      <c r="A5985" s="608" t="s">
        <v>74</v>
      </c>
      <c r="B5985" s="609" t="s">
        <v>625</v>
      </c>
      <c r="C5985" s="610" t="s">
        <v>379</v>
      </c>
      <c r="D5985" s="610" t="s">
        <v>379</v>
      </c>
      <c r="E5985" s="610" t="s">
        <v>379</v>
      </c>
      <c r="F5985" s="610" t="s">
        <v>379</v>
      </c>
      <c r="G5985" s="610" t="s">
        <v>379</v>
      </c>
      <c r="H5985" s="611" t="s">
        <v>626</v>
      </c>
    </row>
    <row r="5986" spans="1:8" ht="15.75">
      <c r="A5986" s="608" t="s">
        <v>313</v>
      </c>
      <c r="B5986" s="609" t="s">
        <v>627</v>
      </c>
      <c r="C5986" s="610" t="s">
        <v>379</v>
      </c>
      <c r="D5986" s="610" t="s">
        <v>379</v>
      </c>
      <c r="E5986" s="610" t="s">
        <v>379</v>
      </c>
      <c r="F5986" s="610" t="s">
        <v>379</v>
      </c>
      <c r="G5986" s="610" t="s">
        <v>379</v>
      </c>
      <c r="H5986" s="611" t="s">
        <v>626</v>
      </c>
    </row>
    <row r="5987" spans="1:8" ht="31.5">
      <c r="A5987" s="608" t="s">
        <v>315</v>
      </c>
      <c r="B5987" s="612" t="s">
        <v>628</v>
      </c>
      <c r="C5987" s="610" t="s">
        <v>379</v>
      </c>
      <c r="D5987" s="610" t="s">
        <v>379</v>
      </c>
      <c r="E5987" s="610" t="s">
        <v>379</v>
      </c>
      <c r="F5987" s="610" t="s">
        <v>379</v>
      </c>
      <c r="G5987" s="610" t="s">
        <v>379</v>
      </c>
      <c r="H5987" s="611" t="s">
        <v>626</v>
      </c>
    </row>
    <row r="5988" spans="1:8" ht="47.25">
      <c r="A5988" s="608" t="s">
        <v>317</v>
      </c>
      <c r="B5988" s="612" t="s">
        <v>629</v>
      </c>
      <c r="C5988" s="610" t="s">
        <v>379</v>
      </c>
      <c r="D5988" s="610" t="s">
        <v>379</v>
      </c>
      <c r="E5988" s="610" t="s">
        <v>379</v>
      </c>
      <c r="F5988" s="610" t="s">
        <v>379</v>
      </c>
      <c r="G5988" s="610" t="s">
        <v>379</v>
      </c>
      <c r="H5988" s="611" t="s">
        <v>626</v>
      </c>
    </row>
    <row r="5989" spans="1:8" ht="15.75">
      <c r="A5989" s="608" t="s">
        <v>630</v>
      </c>
      <c r="B5989" s="613" t="s">
        <v>631</v>
      </c>
      <c r="C5989" s="610" t="s">
        <v>379</v>
      </c>
      <c r="D5989" s="610" t="s">
        <v>379</v>
      </c>
      <c r="E5989" s="610" t="s">
        <v>379</v>
      </c>
      <c r="F5989" s="610" t="s">
        <v>379</v>
      </c>
      <c r="G5989" s="610" t="s">
        <v>379</v>
      </c>
      <c r="H5989" s="611" t="s">
        <v>626</v>
      </c>
    </row>
    <row r="5990" spans="1:8" ht="15.75">
      <c r="A5990" s="608" t="s">
        <v>632</v>
      </c>
      <c r="B5990" s="613" t="s">
        <v>633</v>
      </c>
      <c r="C5990" s="610" t="s">
        <v>379</v>
      </c>
      <c r="D5990" s="610" t="s">
        <v>379</v>
      </c>
      <c r="E5990" s="610" t="s">
        <v>379</v>
      </c>
      <c r="F5990" s="610" t="s">
        <v>379</v>
      </c>
      <c r="G5990" s="610" t="s">
        <v>379</v>
      </c>
      <c r="H5990" s="611" t="s">
        <v>626</v>
      </c>
    </row>
    <row r="5991" spans="1:8" ht="12.75" customHeight="1">
      <c r="A5991" s="608">
        <v>2</v>
      </c>
      <c r="B5991" s="706" t="s">
        <v>634</v>
      </c>
      <c r="C5991" s="706"/>
      <c r="D5991" s="706"/>
      <c r="E5991" s="706"/>
      <c r="F5991" s="706"/>
      <c r="G5991" s="706"/>
      <c r="H5991" s="706"/>
    </row>
    <row r="5992" spans="1:8" ht="31.5">
      <c r="A5992" s="608" t="s">
        <v>321</v>
      </c>
      <c r="B5992" s="612" t="s">
        <v>635</v>
      </c>
      <c r="C5992" s="610" t="s">
        <v>636</v>
      </c>
      <c r="D5992" s="610" t="s">
        <v>670</v>
      </c>
      <c r="E5992" s="610" t="s">
        <v>379</v>
      </c>
      <c r="F5992" s="610" t="s">
        <v>379</v>
      </c>
      <c r="G5992" s="614">
        <v>0</v>
      </c>
      <c r="H5992" s="611"/>
    </row>
    <row r="5993" spans="1:8" ht="47.25">
      <c r="A5993" s="608" t="s">
        <v>325</v>
      </c>
      <c r="B5993" s="612" t="s">
        <v>638</v>
      </c>
      <c r="C5993" s="610" t="s">
        <v>379</v>
      </c>
      <c r="D5993" s="610" t="s">
        <v>379</v>
      </c>
      <c r="E5993" s="610" t="s">
        <v>379</v>
      </c>
      <c r="F5993" s="610" t="s">
        <v>379</v>
      </c>
      <c r="G5993" s="610" t="s">
        <v>379</v>
      </c>
      <c r="H5993" s="611" t="s">
        <v>626</v>
      </c>
    </row>
    <row r="5994" spans="1:8" ht="31.5">
      <c r="A5994" s="608" t="s">
        <v>639</v>
      </c>
      <c r="B5994" s="612" t="s">
        <v>640</v>
      </c>
      <c r="C5994" s="610" t="s">
        <v>379</v>
      </c>
      <c r="D5994" s="610" t="s">
        <v>379</v>
      </c>
      <c r="E5994" s="610" t="s">
        <v>379</v>
      </c>
      <c r="F5994" s="610" t="s">
        <v>379</v>
      </c>
      <c r="G5994" s="610" t="s">
        <v>379</v>
      </c>
      <c r="H5994" s="611" t="s">
        <v>626</v>
      </c>
    </row>
    <row r="5995" spans="1:8" ht="12.75" customHeight="1">
      <c r="A5995" s="608">
        <v>3</v>
      </c>
      <c r="B5995" s="706" t="s">
        <v>641</v>
      </c>
      <c r="C5995" s="706"/>
      <c r="D5995" s="706"/>
      <c r="E5995" s="706"/>
      <c r="F5995" s="706"/>
      <c r="G5995" s="706"/>
      <c r="H5995" s="706"/>
    </row>
    <row r="5996" spans="1:8" ht="31.5">
      <c r="A5996" s="608" t="s">
        <v>378</v>
      </c>
      <c r="B5996" s="613" t="s">
        <v>642</v>
      </c>
      <c r="C5996" s="610" t="s">
        <v>379</v>
      </c>
      <c r="D5996" s="610" t="s">
        <v>379</v>
      </c>
      <c r="E5996" s="610" t="s">
        <v>379</v>
      </c>
      <c r="F5996" s="610" t="s">
        <v>379</v>
      </c>
      <c r="G5996" s="610" t="s">
        <v>379</v>
      </c>
      <c r="H5996" s="611" t="s">
        <v>626</v>
      </c>
    </row>
    <row r="5997" spans="1:8" ht="15.75">
      <c r="A5997" s="608" t="s">
        <v>643</v>
      </c>
      <c r="B5997" s="613" t="s">
        <v>644</v>
      </c>
      <c r="C5997" s="610" t="s">
        <v>636</v>
      </c>
      <c r="D5997" s="610" t="s">
        <v>22</v>
      </c>
      <c r="E5997" s="610" t="s">
        <v>379</v>
      </c>
      <c r="F5997" s="610" t="s">
        <v>379</v>
      </c>
      <c r="G5997" s="614">
        <v>0</v>
      </c>
      <c r="H5997" s="611"/>
    </row>
    <row r="5998" spans="1:8" ht="15.75">
      <c r="A5998" s="608" t="s">
        <v>380</v>
      </c>
      <c r="B5998" s="613" t="s">
        <v>646</v>
      </c>
      <c r="C5998" s="610" t="s">
        <v>23</v>
      </c>
      <c r="D5998" s="610" t="s">
        <v>24</v>
      </c>
      <c r="E5998" s="610" t="s">
        <v>379</v>
      </c>
      <c r="F5998" s="610" t="s">
        <v>379</v>
      </c>
      <c r="G5998" s="614">
        <v>0</v>
      </c>
      <c r="H5998" s="611"/>
    </row>
    <row r="5999" spans="1:8" ht="15.75">
      <c r="A5999" s="608" t="s">
        <v>649</v>
      </c>
      <c r="B5999" s="613" t="s">
        <v>650</v>
      </c>
      <c r="C5999" s="610" t="s">
        <v>25</v>
      </c>
      <c r="D5999" s="610" t="s">
        <v>26</v>
      </c>
      <c r="E5999" s="610" t="s">
        <v>379</v>
      </c>
      <c r="F5999" s="610" t="s">
        <v>379</v>
      </c>
      <c r="G5999" s="614">
        <v>0</v>
      </c>
      <c r="H5999" s="611"/>
    </row>
    <row r="6000" spans="1:8" ht="15.75">
      <c r="A6000" s="608" t="s">
        <v>653</v>
      </c>
      <c r="B6000" s="613" t="s">
        <v>654</v>
      </c>
      <c r="C6000" s="610" t="s">
        <v>27</v>
      </c>
      <c r="D6000" s="610" t="s">
        <v>651</v>
      </c>
      <c r="E6000" s="610" t="s">
        <v>379</v>
      </c>
      <c r="F6000" s="610" t="s">
        <v>379</v>
      </c>
      <c r="G6000" s="614">
        <v>0</v>
      </c>
      <c r="H6000" s="611"/>
    </row>
    <row r="6001" spans="1:8" ht="12.75" customHeight="1">
      <c r="A6001" s="608">
        <v>4</v>
      </c>
      <c r="B6001" s="706" t="s">
        <v>656</v>
      </c>
      <c r="C6001" s="706"/>
      <c r="D6001" s="706"/>
      <c r="E6001" s="706"/>
      <c r="F6001" s="706"/>
      <c r="G6001" s="706"/>
      <c r="H6001" s="706"/>
    </row>
    <row r="6002" spans="1:8" ht="31.5">
      <c r="A6002" s="608" t="s">
        <v>657</v>
      </c>
      <c r="B6002" s="612" t="s">
        <v>658</v>
      </c>
      <c r="C6002" s="610" t="s">
        <v>379</v>
      </c>
      <c r="D6002" s="610" t="s">
        <v>379</v>
      </c>
      <c r="E6002" s="610" t="s">
        <v>379</v>
      </c>
      <c r="F6002" s="610" t="s">
        <v>379</v>
      </c>
      <c r="G6002" s="610" t="s">
        <v>379</v>
      </c>
      <c r="H6002" s="611" t="s">
        <v>626</v>
      </c>
    </row>
    <row r="6003" spans="1:8" ht="47.25">
      <c r="A6003" s="608" t="s">
        <v>659</v>
      </c>
      <c r="B6003" s="612" t="s">
        <v>660</v>
      </c>
      <c r="C6003" s="610" t="s">
        <v>379</v>
      </c>
      <c r="D6003" s="610" t="s">
        <v>379</v>
      </c>
      <c r="E6003" s="610" t="s">
        <v>379</v>
      </c>
      <c r="F6003" s="610" t="s">
        <v>379</v>
      </c>
      <c r="G6003" s="610" t="s">
        <v>379</v>
      </c>
      <c r="H6003" s="611" t="s">
        <v>626</v>
      </c>
    </row>
    <row r="6004" spans="1:8" ht="31.5">
      <c r="A6004" s="608" t="s">
        <v>661</v>
      </c>
      <c r="B6004" s="613" t="s">
        <v>662</v>
      </c>
      <c r="C6004" s="610" t="s">
        <v>379</v>
      </c>
      <c r="D6004" s="610" t="s">
        <v>379</v>
      </c>
      <c r="E6004" s="610" t="s">
        <v>379</v>
      </c>
      <c r="F6004" s="610" t="s">
        <v>379</v>
      </c>
      <c r="G6004" s="610" t="s">
        <v>379</v>
      </c>
      <c r="H6004" s="611" t="s">
        <v>626</v>
      </c>
    </row>
    <row r="6005" spans="1:8" ht="31.5">
      <c r="A6005" s="615" t="s">
        <v>663</v>
      </c>
      <c r="B6005" s="616" t="s">
        <v>664</v>
      </c>
      <c r="C6005" s="617" t="s">
        <v>28</v>
      </c>
      <c r="D6005" s="617" t="s">
        <v>29</v>
      </c>
      <c r="E6005" s="617" t="s">
        <v>379</v>
      </c>
      <c r="F6005" s="617" t="s">
        <v>379</v>
      </c>
      <c r="G6005" s="623">
        <v>0</v>
      </c>
      <c r="H6005" s="618" t="s">
        <v>37</v>
      </c>
    </row>
    <row r="6006" spans="1:8" ht="15.75">
      <c r="A6006" s="619"/>
      <c r="B6006" s="620"/>
      <c r="C6006" s="621"/>
      <c r="D6006" s="621"/>
      <c r="E6006" s="621"/>
      <c r="F6006" s="621"/>
      <c r="G6006" s="621"/>
      <c r="H6006" s="148"/>
    </row>
    <row r="6007" spans="1:8" ht="12.75" customHeight="1">
      <c r="A6007" s="707" t="s">
        <v>665</v>
      </c>
      <c r="B6007" s="707"/>
      <c r="C6007" s="707"/>
      <c r="D6007" s="707"/>
      <c r="E6007" s="707"/>
      <c r="F6007" s="707"/>
      <c r="G6007" s="707"/>
      <c r="H6007" s="707"/>
    </row>
    <row r="6008" spans="1:8" ht="15.75">
      <c r="A6008" s="622"/>
      <c r="B6008" s="622"/>
      <c r="C6008" s="622"/>
      <c r="D6008" s="622"/>
      <c r="E6008" s="622"/>
      <c r="F6008" s="622"/>
      <c r="G6008" s="622"/>
      <c r="H6008" s="622"/>
    </row>
    <row r="6009" spans="1:8" ht="15.75">
      <c r="A6009" s="622"/>
      <c r="B6009" s="622"/>
      <c r="C6009" s="622"/>
      <c r="D6009" s="622"/>
      <c r="E6009" s="622"/>
      <c r="F6009" s="622"/>
      <c r="G6009" s="622"/>
      <c r="H6009" s="622"/>
    </row>
    <row r="6010" spans="1:8" ht="15.75">
      <c r="A6010" s="622"/>
      <c r="B6010" s="622"/>
      <c r="C6010" s="622"/>
      <c r="D6010" s="622"/>
      <c r="E6010" s="622"/>
      <c r="F6010" s="622"/>
      <c r="G6010" s="622"/>
      <c r="H6010" s="622"/>
    </row>
    <row r="6011" spans="1:8" ht="15.75">
      <c r="A6011" s="622"/>
      <c r="B6011" s="622"/>
      <c r="C6011" s="622"/>
      <c r="D6011" s="622"/>
      <c r="E6011" s="622"/>
      <c r="F6011" s="622"/>
      <c r="G6011" s="622"/>
      <c r="H6011" s="622"/>
    </row>
    <row r="6012" spans="1:8" ht="15.75">
      <c r="A6012" s="622"/>
      <c r="B6012" s="622"/>
      <c r="C6012" s="622"/>
      <c r="D6012" s="622"/>
      <c r="E6012" s="622"/>
      <c r="F6012" s="622"/>
      <c r="G6012" s="622"/>
      <c r="H6012" s="622"/>
    </row>
    <row r="6013" ht="15.75">
      <c r="H6013" s="11" t="s">
        <v>609</v>
      </c>
    </row>
    <row r="6014" ht="15.75">
      <c r="H6014" s="11" t="s">
        <v>610</v>
      </c>
    </row>
    <row r="6015" ht="15.75">
      <c r="H6015" s="11" t="s">
        <v>611</v>
      </c>
    </row>
    <row r="6016" ht="15.75">
      <c r="H6016" s="11"/>
    </row>
    <row r="6017" spans="1:8" ht="12.75" customHeight="1">
      <c r="A6017" s="713" t="s">
        <v>612</v>
      </c>
      <c r="B6017" s="713"/>
      <c r="C6017" s="713"/>
      <c r="D6017" s="713"/>
      <c r="E6017" s="713"/>
      <c r="F6017" s="713"/>
      <c r="G6017" s="713"/>
      <c r="H6017" s="713"/>
    </row>
    <row r="6018" spans="1:8" ht="12.75" customHeight="1">
      <c r="A6018" s="713" t="s">
        <v>613</v>
      </c>
      <c r="B6018" s="713"/>
      <c r="C6018" s="713"/>
      <c r="D6018" s="713"/>
      <c r="E6018" s="713"/>
      <c r="F6018" s="713"/>
      <c r="G6018" s="713"/>
      <c r="H6018" s="713"/>
    </row>
    <row r="6019" ht="15.75">
      <c r="H6019" s="11" t="s">
        <v>43</v>
      </c>
    </row>
    <row r="6020" ht="15.75">
      <c r="H6020" s="11" t="s">
        <v>44</v>
      </c>
    </row>
    <row r="6021" ht="15.75">
      <c r="H6021" s="11" t="s">
        <v>45</v>
      </c>
    </row>
    <row r="6022" ht="15.75">
      <c r="H6022" s="594" t="s">
        <v>614</v>
      </c>
    </row>
    <row r="6023" ht="15.75">
      <c r="H6023" s="11" t="s">
        <v>615</v>
      </c>
    </row>
    <row r="6024" ht="15.75">
      <c r="H6024" s="11" t="s">
        <v>47</v>
      </c>
    </row>
    <row r="6025" ht="15.75">
      <c r="A6025" s="595"/>
    </row>
    <row r="6026" ht="15.75">
      <c r="A6026" s="567" t="s">
        <v>30</v>
      </c>
    </row>
    <row r="6027" spans="1:8" ht="12.75" customHeight="1">
      <c r="A6027" s="717" t="s">
        <v>0</v>
      </c>
      <c r="B6027" s="714"/>
      <c r="C6027" s="714"/>
      <c r="D6027" s="714"/>
      <c r="E6027" s="714"/>
      <c r="F6027" s="714"/>
      <c r="G6027" s="714"/>
      <c r="H6027" s="714"/>
    </row>
    <row r="6028" spans="1:8" ht="16.5" thickBot="1">
      <c r="A6028" s="597"/>
      <c r="B6028" s="597"/>
      <c r="C6028" s="598"/>
      <c r="D6028" s="598"/>
      <c r="E6028" s="598"/>
      <c r="F6028" s="598"/>
      <c r="G6028" s="598"/>
      <c r="H6028" s="598"/>
    </row>
    <row r="6029" spans="1:8" ht="12.75" customHeight="1">
      <c r="A6029" s="708" t="s">
        <v>617</v>
      </c>
      <c r="B6029" s="710" t="s">
        <v>618</v>
      </c>
      <c r="C6029" s="711" t="s">
        <v>619</v>
      </c>
      <c r="D6029" s="711"/>
      <c r="E6029" s="711"/>
      <c r="F6029" s="711"/>
      <c r="G6029" s="712" t="s">
        <v>620</v>
      </c>
      <c r="H6029" s="708" t="s">
        <v>621</v>
      </c>
    </row>
    <row r="6030" spans="1:8" ht="15.75">
      <c r="A6030" s="708"/>
      <c r="B6030" s="710"/>
      <c r="C6030" s="711"/>
      <c r="D6030" s="711"/>
      <c r="E6030" s="711"/>
      <c r="F6030" s="711"/>
      <c r="G6030" s="712"/>
      <c r="H6030" s="708"/>
    </row>
    <row r="6031" spans="1:8" ht="31.5">
      <c r="A6031" s="708"/>
      <c r="B6031" s="710"/>
      <c r="C6031" s="601" t="s">
        <v>622</v>
      </c>
      <c r="D6031" s="601" t="s">
        <v>623</v>
      </c>
      <c r="E6031" s="602" t="s">
        <v>622</v>
      </c>
      <c r="F6031" s="603" t="s">
        <v>623</v>
      </c>
      <c r="G6031" s="712"/>
      <c r="H6031" s="708"/>
    </row>
    <row r="6032" spans="1:8" ht="15.75">
      <c r="A6032" s="599">
        <v>1</v>
      </c>
      <c r="B6032" s="599">
        <v>2</v>
      </c>
      <c r="C6032" s="604">
        <v>3</v>
      </c>
      <c r="D6032" s="604">
        <v>4</v>
      </c>
      <c r="E6032" s="605"/>
      <c r="F6032" s="606"/>
      <c r="G6032" s="600">
        <v>5</v>
      </c>
      <c r="H6032" s="599">
        <v>6</v>
      </c>
    </row>
    <row r="6033" spans="1:8" ht="12.75" customHeight="1">
      <c r="A6033" s="607">
        <v>1</v>
      </c>
      <c r="B6033" s="709" t="s">
        <v>624</v>
      </c>
      <c r="C6033" s="709"/>
      <c r="D6033" s="709"/>
      <c r="E6033" s="709"/>
      <c r="F6033" s="709"/>
      <c r="G6033" s="709"/>
      <c r="H6033" s="709"/>
    </row>
    <row r="6034" spans="1:8" ht="15.75">
      <c r="A6034" s="608" t="s">
        <v>74</v>
      </c>
      <c r="B6034" s="609" t="s">
        <v>625</v>
      </c>
      <c r="C6034" s="610" t="s">
        <v>379</v>
      </c>
      <c r="D6034" s="610" t="s">
        <v>379</v>
      </c>
      <c r="E6034" s="610" t="s">
        <v>379</v>
      </c>
      <c r="F6034" s="610" t="s">
        <v>379</v>
      </c>
      <c r="G6034" s="610" t="s">
        <v>379</v>
      </c>
      <c r="H6034" s="611" t="s">
        <v>626</v>
      </c>
    </row>
    <row r="6035" spans="1:8" ht="15.75">
      <c r="A6035" s="608" t="s">
        <v>313</v>
      </c>
      <c r="B6035" s="609" t="s">
        <v>627</v>
      </c>
      <c r="C6035" s="610" t="s">
        <v>379</v>
      </c>
      <c r="D6035" s="610" t="s">
        <v>379</v>
      </c>
      <c r="E6035" s="610" t="s">
        <v>379</v>
      </c>
      <c r="F6035" s="610" t="s">
        <v>379</v>
      </c>
      <c r="G6035" s="610" t="s">
        <v>379</v>
      </c>
      <c r="H6035" s="611" t="s">
        <v>626</v>
      </c>
    </row>
    <row r="6036" spans="1:8" ht="31.5">
      <c r="A6036" s="608" t="s">
        <v>315</v>
      </c>
      <c r="B6036" s="612" t="s">
        <v>628</v>
      </c>
      <c r="C6036" s="610" t="s">
        <v>379</v>
      </c>
      <c r="D6036" s="610" t="s">
        <v>379</v>
      </c>
      <c r="E6036" s="610" t="s">
        <v>379</v>
      </c>
      <c r="F6036" s="610" t="s">
        <v>379</v>
      </c>
      <c r="G6036" s="610" t="s">
        <v>379</v>
      </c>
      <c r="H6036" s="611" t="s">
        <v>626</v>
      </c>
    </row>
    <row r="6037" spans="1:8" ht="47.25">
      <c r="A6037" s="608" t="s">
        <v>317</v>
      </c>
      <c r="B6037" s="612" t="s">
        <v>629</v>
      </c>
      <c r="C6037" s="610" t="s">
        <v>379</v>
      </c>
      <c r="D6037" s="610" t="s">
        <v>379</v>
      </c>
      <c r="E6037" s="610" t="s">
        <v>379</v>
      </c>
      <c r="F6037" s="610" t="s">
        <v>379</v>
      </c>
      <c r="G6037" s="610" t="s">
        <v>379</v>
      </c>
      <c r="H6037" s="611" t="s">
        <v>626</v>
      </c>
    </row>
    <row r="6038" spans="1:8" ht="15.75">
      <c r="A6038" s="608" t="s">
        <v>630</v>
      </c>
      <c r="B6038" s="613" t="s">
        <v>631</v>
      </c>
      <c r="C6038" s="610" t="s">
        <v>379</v>
      </c>
      <c r="D6038" s="610" t="s">
        <v>379</v>
      </c>
      <c r="E6038" s="610" t="s">
        <v>379</v>
      </c>
      <c r="F6038" s="610" t="s">
        <v>379</v>
      </c>
      <c r="G6038" s="610" t="s">
        <v>379</v>
      </c>
      <c r="H6038" s="611" t="s">
        <v>626</v>
      </c>
    </row>
    <row r="6039" spans="1:8" ht="15.75">
      <c r="A6039" s="608" t="s">
        <v>632</v>
      </c>
      <c r="B6039" s="613" t="s">
        <v>633</v>
      </c>
      <c r="C6039" s="610" t="s">
        <v>379</v>
      </c>
      <c r="D6039" s="610" t="s">
        <v>379</v>
      </c>
      <c r="E6039" s="610" t="s">
        <v>379</v>
      </c>
      <c r="F6039" s="610" t="s">
        <v>379</v>
      </c>
      <c r="G6039" s="610" t="s">
        <v>379</v>
      </c>
      <c r="H6039" s="611" t="s">
        <v>626</v>
      </c>
    </row>
    <row r="6040" spans="1:8" ht="12.75" customHeight="1">
      <c r="A6040" s="608">
        <v>2</v>
      </c>
      <c r="B6040" s="706" t="s">
        <v>634</v>
      </c>
      <c r="C6040" s="706"/>
      <c r="D6040" s="706"/>
      <c r="E6040" s="706"/>
      <c r="F6040" s="706"/>
      <c r="G6040" s="706"/>
      <c r="H6040" s="706"/>
    </row>
    <row r="6041" spans="1:8" ht="31.5">
      <c r="A6041" s="608" t="s">
        <v>321</v>
      </c>
      <c r="B6041" s="612" t="s">
        <v>635</v>
      </c>
      <c r="C6041" s="610" t="s">
        <v>827</v>
      </c>
      <c r="D6041" s="610" t="s">
        <v>755</v>
      </c>
      <c r="E6041" s="610" t="s">
        <v>379</v>
      </c>
      <c r="F6041" s="610" t="s">
        <v>379</v>
      </c>
      <c r="G6041" s="614">
        <v>0</v>
      </c>
      <c r="H6041" s="611"/>
    </row>
    <row r="6042" spans="1:8" ht="47.25">
      <c r="A6042" s="608" t="s">
        <v>325</v>
      </c>
      <c r="B6042" s="612" t="s">
        <v>638</v>
      </c>
      <c r="C6042" s="610" t="s">
        <v>379</v>
      </c>
      <c r="D6042" s="610" t="s">
        <v>379</v>
      </c>
      <c r="E6042" s="610" t="s">
        <v>379</v>
      </c>
      <c r="F6042" s="610" t="s">
        <v>379</v>
      </c>
      <c r="G6042" s="610" t="s">
        <v>379</v>
      </c>
      <c r="H6042" s="611" t="s">
        <v>626</v>
      </c>
    </row>
    <row r="6043" spans="1:8" ht="31.5">
      <c r="A6043" s="608" t="s">
        <v>639</v>
      </c>
      <c r="B6043" s="612" t="s">
        <v>640</v>
      </c>
      <c r="C6043" s="610" t="s">
        <v>379</v>
      </c>
      <c r="D6043" s="610" t="s">
        <v>379</v>
      </c>
      <c r="E6043" s="610" t="s">
        <v>379</v>
      </c>
      <c r="F6043" s="610" t="s">
        <v>379</v>
      </c>
      <c r="G6043" s="610" t="s">
        <v>379</v>
      </c>
      <c r="H6043" s="611" t="s">
        <v>626</v>
      </c>
    </row>
    <row r="6044" spans="1:8" ht="12.75" customHeight="1">
      <c r="A6044" s="608">
        <v>3</v>
      </c>
      <c r="B6044" s="706" t="s">
        <v>641</v>
      </c>
      <c r="C6044" s="706"/>
      <c r="D6044" s="706"/>
      <c r="E6044" s="706"/>
      <c r="F6044" s="706"/>
      <c r="G6044" s="706"/>
      <c r="H6044" s="706"/>
    </row>
    <row r="6045" spans="1:8" ht="31.5">
      <c r="A6045" s="608" t="s">
        <v>378</v>
      </c>
      <c r="B6045" s="613" t="s">
        <v>642</v>
      </c>
      <c r="C6045" s="610" t="s">
        <v>379</v>
      </c>
      <c r="D6045" s="610" t="s">
        <v>379</v>
      </c>
      <c r="E6045" s="610" t="s">
        <v>379</v>
      </c>
      <c r="F6045" s="610" t="s">
        <v>379</v>
      </c>
      <c r="G6045" s="610" t="s">
        <v>379</v>
      </c>
      <c r="H6045" s="611" t="s">
        <v>626</v>
      </c>
    </row>
    <row r="6046" spans="1:8" ht="15.75">
      <c r="A6046" s="608" t="s">
        <v>643</v>
      </c>
      <c r="B6046" s="613" t="s">
        <v>644</v>
      </c>
      <c r="C6046" s="610" t="s">
        <v>827</v>
      </c>
      <c r="D6046" s="610" t="s">
        <v>755</v>
      </c>
      <c r="E6046" s="610" t="s">
        <v>379</v>
      </c>
      <c r="F6046" s="610" t="s">
        <v>379</v>
      </c>
      <c r="G6046" s="614">
        <v>0</v>
      </c>
      <c r="H6046" s="611"/>
    </row>
    <row r="6047" spans="1:8" ht="15.75">
      <c r="A6047" s="608" t="s">
        <v>380</v>
      </c>
      <c r="B6047" s="613" t="s">
        <v>646</v>
      </c>
      <c r="C6047" s="610" t="s">
        <v>379</v>
      </c>
      <c r="D6047" s="610" t="s">
        <v>379</v>
      </c>
      <c r="E6047" s="610" t="s">
        <v>379</v>
      </c>
      <c r="F6047" s="610" t="s">
        <v>379</v>
      </c>
      <c r="G6047" s="610" t="s">
        <v>379</v>
      </c>
      <c r="H6047" s="611" t="s">
        <v>626</v>
      </c>
    </row>
    <row r="6048" spans="1:8" ht="15.75">
      <c r="A6048" s="608" t="s">
        <v>649</v>
      </c>
      <c r="B6048" s="613" t="s">
        <v>650</v>
      </c>
      <c r="C6048" s="610" t="s">
        <v>379</v>
      </c>
      <c r="D6048" s="610" t="s">
        <v>379</v>
      </c>
      <c r="E6048" s="610" t="s">
        <v>379</v>
      </c>
      <c r="F6048" s="610" t="s">
        <v>379</v>
      </c>
      <c r="G6048" s="610" t="s">
        <v>379</v>
      </c>
      <c r="H6048" s="611" t="s">
        <v>626</v>
      </c>
    </row>
    <row r="6049" spans="1:8" ht="15.75">
      <c r="A6049" s="608" t="s">
        <v>653</v>
      </c>
      <c r="B6049" s="613" t="s">
        <v>654</v>
      </c>
      <c r="C6049" s="610" t="s">
        <v>379</v>
      </c>
      <c r="D6049" s="610" t="s">
        <v>379</v>
      </c>
      <c r="E6049" s="610" t="s">
        <v>379</v>
      </c>
      <c r="F6049" s="610" t="s">
        <v>379</v>
      </c>
      <c r="G6049" s="610" t="s">
        <v>379</v>
      </c>
      <c r="H6049" s="611" t="s">
        <v>626</v>
      </c>
    </row>
    <row r="6050" spans="1:8" ht="12.75" customHeight="1">
      <c r="A6050" s="608">
        <v>4</v>
      </c>
      <c r="B6050" s="706" t="s">
        <v>656</v>
      </c>
      <c r="C6050" s="706"/>
      <c r="D6050" s="706"/>
      <c r="E6050" s="706"/>
      <c r="F6050" s="706"/>
      <c r="G6050" s="706"/>
      <c r="H6050" s="706"/>
    </row>
    <row r="6051" spans="1:8" ht="31.5">
      <c r="A6051" s="608" t="s">
        <v>657</v>
      </c>
      <c r="B6051" s="612" t="s">
        <v>658</v>
      </c>
      <c r="C6051" s="610" t="s">
        <v>379</v>
      </c>
      <c r="D6051" s="610" t="s">
        <v>379</v>
      </c>
      <c r="E6051" s="610" t="s">
        <v>379</v>
      </c>
      <c r="F6051" s="610" t="s">
        <v>379</v>
      </c>
      <c r="G6051" s="610" t="s">
        <v>379</v>
      </c>
      <c r="H6051" s="611" t="s">
        <v>626</v>
      </c>
    </row>
    <row r="6052" spans="1:8" ht="47.25">
      <c r="A6052" s="608" t="s">
        <v>659</v>
      </c>
      <c r="B6052" s="612" t="s">
        <v>660</v>
      </c>
      <c r="C6052" s="610" t="s">
        <v>379</v>
      </c>
      <c r="D6052" s="610" t="s">
        <v>379</v>
      </c>
      <c r="E6052" s="610" t="s">
        <v>379</v>
      </c>
      <c r="F6052" s="610" t="s">
        <v>379</v>
      </c>
      <c r="G6052" s="610" t="s">
        <v>379</v>
      </c>
      <c r="H6052" s="611" t="s">
        <v>626</v>
      </c>
    </row>
    <row r="6053" spans="1:8" ht="31.5">
      <c r="A6053" s="608" t="s">
        <v>661</v>
      </c>
      <c r="B6053" s="613" t="s">
        <v>662</v>
      </c>
      <c r="C6053" s="610" t="s">
        <v>379</v>
      </c>
      <c r="D6053" s="610" t="s">
        <v>379</v>
      </c>
      <c r="E6053" s="610" t="s">
        <v>379</v>
      </c>
      <c r="F6053" s="610" t="s">
        <v>379</v>
      </c>
      <c r="G6053" s="610" t="s">
        <v>379</v>
      </c>
      <c r="H6053" s="611" t="s">
        <v>626</v>
      </c>
    </row>
    <row r="6054" spans="1:8" ht="31.5">
      <c r="A6054" s="615" t="s">
        <v>663</v>
      </c>
      <c r="B6054" s="616" t="s">
        <v>664</v>
      </c>
      <c r="C6054" s="617" t="s">
        <v>379</v>
      </c>
      <c r="D6054" s="617" t="s">
        <v>379</v>
      </c>
      <c r="E6054" s="617" t="s">
        <v>379</v>
      </c>
      <c r="F6054" s="617" t="s">
        <v>379</v>
      </c>
      <c r="G6054" s="617" t="s">
        <v>379</v>
      </c>
      <c r="H6054" s="618" t="s">
        <v>626</v>
      </c>
    </row>
    <row r="6055" spans="1:8" ht="15.75">
      <c r="A6055" s="619"/>
      <c r="B6055" s="620"/>
      <c r="C6055" s="621"/>
      <c r="D6055" s="621"/>
      <c r="E6055" s="621"/>
      <c r="F6055" s="621"/>
      <c r="G6055" s="621"/>
      <c r="H6055" s="148"/>
    </row>
    <row r="6056" spans="1:8" ht="12.75" customHeight="1">
      <c r="A6056" s="707" t="s">
        <v>665</v>
      </c>
      <c r="B6056" s="707"/>
      <c r="C6056" s="707"/>
      <c r="D6056" s="707"/>
      <c r="E6056" s="707"/>
      <c r="F6056" s="707"/>
      <c r="G6056" s="707"/>
      <c r="H6056" s="707"/>
    </row>
    <row r="6058" ht="15" customHeight="1"/>
    <row r="6060" ht="15" customHeight="1"/>
    <row r="6064" ht="15" customHeight="1"/>
    <row r="6071" ht="15" customHeight="1"/>
    <row r="6075" ht="15" customHeight="1"/>
    <row r="6081" ht="15" customHeight="1"/>
    <row r="6087" ht="15" customHeight="1"/>
    <row r="6090" ht="15" customHeight="1"/>
    <row r="6095" ht="15" customHeight="1"/>
    <row r="6101" ht="15" customHeight="1"/>
    <row r="6108" ht="15" customHeight="1"/>
    <row r="6109" ht="15" customHeight="1"/>
    <row r="6118" ht="15" customHeight="1"/>
    <row r="6120" ht="15" customHeight="1"/>
    <row r="6124" ht="15" customHeight="1"/>
    <row r="6131" ht="15" customHeight="1"/>
    <row r="6135" ht="15" customHeight="1"/>
    <row r="6141" ht="15" customHeight="1"/>
    <row r="6147" ht="15" customHeight="1"/>
    <row r="6154" ht="15" customHeight="1"/>
    <row r="6155" ht="15" customHeight="1"/>
    <row r="6164" ht="15" customHeight="1"/>
    <row r="6166" ht="15" customHeight="1"/>
    <row r="6170" ht="15" customHeight="1"/>
    <row r="6177" ht="15" customHeight="1"/>
    <row r="6181" ht="15" customHeight="1"/>
    <row r="6187" ht="15" customHeight="1"/>
    <row r="6193" ht="15" customHeight="1"/>
    <row r="6200" ht="15" customHeight="1"/>
    <row r="6201" ht="15" customHeight="1"/>
    <row r="6210" ht="15" customHeight="1"/>
    <row r="6212" ht="15" customHeight="1"/>
    <row r="6216" ht="15" customHeight="1"/>
    <row r="6223" ht="15" customHeight="1"/>
    <row r="6227" ht="15" customHeight="1"/>
    <row r="6233" ht="15" customHeight="1"/>
    <row r="6239" ht="15" customHeight="1"/>
    <row r="6246" ht="15" customHeight="1"/>
    <row r="6247" ht="15" customHeight="1"/>
    <row r="6256" ht="15" customHeight="1"/>
    <row r="6258" ht="15" customHeight="1"/>
    <row r="6262" ht="15" customHeight="1"/>
    <row r="6269" ht="15" customHeight="1"/>
    <row r="6273" ht="15" customHeight="1"/>
    <row r="6279" ht="15" customHeight="1"/>
    <row r="6285" ht="15" customHeight="1"/>
    <row r="6291" ht="15" customHeight="1"/>
    <row r="6292" ht="15" customHeight="1"/>
    <row r="6301" ht="15" customHeight="1"/>
    <row r="6303" ht="15" customHeight="1"/>
    <row r="6307" ht="15" customHeight="1"/>
    <row r="6314" ht="15" customHeight="1"/>
    <row r="6318" ht="15" customHeight="1"/>
    <row r="6324" ht="15" customHeight="1"/>
    <row r="6330" ht="15" customHeight="1"/>
    <row r="6337" ht="15" customHeight="1"/>
    <row r="6338" ht="15" customHeight="1"/>
    <row r="6347" ht="15" customHeight="1"/>
    <row r="6349" ht="15" customHeight="1"/>
    <row r="6353" ht="15" customHeight="1"/>
    <row r="6360" ht="15" customHeight="1"/>
    <row r="6364" ht="15" customHeight="1"/>
    <row r="6370" ht="15" customHeight="1"/>
    <row r="6376" ht="15" customHeight="1"/>
    <row r="6383" ht="15" customHeight="1"/>
    <row r="6384" ht="15" customHeight="1"/>
    <row r="6393" ht="15" customHeight="1"/>
    <row r="6395" ht="15" customHeight="1"/>
    <row r="6399" ht="15" customHeight="1"/>
    <row r="6406" ht="15" customHeight="1"/>
    <row r="6410" ht="15" customHeight="1"/>
    <row r="6416" ht="15" customHeight="1"/>
    <row r="6422" ht="15" customHeight="1"/>
  </sheetData>
  <sheetProtection selectLockedCells="1" selectUnlockedCells="1"/>
  <mergeCells count="1679">
    <mergeCell ref="A5:H5"/>
    <mergeCell ref="A6:H6"/>
    <mergeCell ref="A15:H15"/>
    <mergeCell ref="A17:A19"/>
    <mergeCell ref="B17:B19"/>
    <mergeCell ref="C17:F18"/>
    <mergeCell ref="G17:G19"/>
    <mergeCell ref="H17:H19"/>
    <mergeCell ref="B21:H21"/>
    <mergeCell ref="B28:H28"/>
    <mergeCell ref="B32:H32"/>
    <mergeCell ref="B38:H38"/>
    <mergeCell ref="A44:H44"/>
    <mergeCell ref="A51:H51"/>
    <mergeCell ref="A52:H52"/>
    <mergeCell ref="A61:H61"/>
    <mergeCell ref="A63:A65"/>
    <mergeCell ref="B63:B65"/>
    <mergeCell ref="C63:F64"/>
    <mergeCell ref="G63:G65"/>
    <mergeCell ref="H63:H65"/>
    <mergeCell ref="B67:H67"/>
    <mergeCell ref="B74:H74"/>
    <mergeCell ref="B78:H78"/>
    <mergeCell ref="B84:H84"/>
    <mergeCell ref="A90:H90"/>
    <mergeCell ref="A97:H97"/>
    <mergeCell ref="A98:H98"/>
    <mergeCell ref="A107:H107"/>
    <mergeCell ref="A109:A111"/>
    <mergeCell ref="B109:B111"/>
    <mergeCell ref="C109:F110"/>
    <mergeCell ref="G109:G111"/>
    <mergeCell ref="H109:H111"/>
    <mergeCell ref="B113:H113"/>
    <mergeCell ref="B120:H120"/>
    <mergeCell ref="B124:H124"/>
    <mergeCell ref="B130:H130"/>
    <mergeCell ref="A136:H136"/>
    <mergeCell ref="A143:H143"/>
    <mergeCell ref="A144:H144"/>
    <mergeCell ref="A153:H153"/>
    <mergeCell ref="A155:A157"/>
    <mergeCell ref="B155:B157"/>
    <mergeCell ref="C155:F156"/>
    <mergeCell ref="G155:G157"/>
    <mergeCell ref="H155:H157"/>
    <mergeCell ref="B159:H159"/>
    <mergeCell ref="B166:H166"/>
    <mergeCell ref="B170:H170"/>
    <mergeCell ref="B176:H176"/>
    <mergeCell ref="A182:H182"/>
    <mergeCell ref="A189:H189"/>
    <mergeCell ref="A190:H190"/>
    <mergeCell ref="A199:H199"/>
    <mergeCell ref="A201:A203"/>
    <mergeCell ref="B201:B203"/>
    <mergeCell ref="C201:F202"/>
    <mergeCell ref="G201:G203"/>
    <mergeCell ref="H201:H203"/>
    <mergeCell ref="B205:H205"/>
    <mergeCell ref="B212:H212"/>
    <mergeCell ref="B216:H216"/>
    <mergeCell ref="B222:H222"/>
    <mergeCell ref="A228:H228"/>
    <mergeCell ref="A235:H235"/>
    <mergeCell ref="A236:H236"/>
    <mergeCell ref="A245:H245"/>
    <mergeCell ref="A247:A249"/>
    <mergeCell ref="B247:B249"/>
    <mergeCell ref="C247:F248"/>
    <mergeCell ref="G247:G249"/>
    <mergeCell ref="H247:H249"/>
    <mergeCell ref="B251:H251"/>
    <mergeCell ref="B258:H258"/>
    <mergeCell ref="B262:H262"/>
    <mergeCell ref="B268:H268"/>
    <mergeCell ref="A274:H274"/>
    <mergeCell ref="A281:H281"/>
    <mergeCell ref="A282:H282"/>
    <mergeCell ref="A290:H290"/>
    <mergeCell ref="A291:H291"/>
    <mergeCell ref="A293:A295"/>
    <mergeCell ref="B293:B295"/>
    <mergeCell ref="C293:F294"/>
    <mergeCell ref="G293:G295"/>
    <mergeCell ref="H293:H295"/>
    <mergeCell ref="B297:H297"/>
    <mergeCell ref="B304:H304"/>
    <mergeCell ref="B308:H308"/>
    <mergeCell ref="B314:H314"/>
    <mergeCell ref="A320:H320"/>
    <mergeCell ref="A326:H326"/>
    <mergeCell ref="A327:H327"/>
    <mergeCell ref="A335:H335"/>
    <mergeCell ref="A336:H336"/>
    <mergeCell ref="A338:A340"/>
    <mergeCell ref="B338:B340"/>
    <mergeCell ref="C338:F339"/>
    <mergeCell ref="G338:G340"/>
    <mergeCell ref="H338:H340"/>
    <mergeCell ref="B342:H342"/>
    <mergeCell ref="B349:H349"/>
    <mergeCell ref="B353:H353"/>
    <mergeCell ref="B359:H359"/>
    <mergeCell ref="A365:H365"/>
    <mergeCell ref="A372:H372"/>
    <mergeCell ref="A373:H373"/>
    <mergeCell ref="A381:H381"/>
    <mergeCell ref="A382:H382"/>
    <mergeCell ref="A384:A386"/>
    <mergeCell ref="B384:B386"/>
    <mergeCell ref="C384:F385"/>
    <mergeCell ref="G384:G386"/>
    <mergeCell ref="H384:H386"/>
    <mergeCell ref="B388:H388"/>
    <mergeCell ref="B395:H395"/>
    <mergeCell ref="B399:H399"/>
    <mergeCell ref="B405:H405"/>
    <mergeCell ref="A411:H411"/>
    <mergeCell ref="A417:H417"/>
    <mergeCell ref="A418:H418"/>
    <mergeCell ref="A427:H427"/>
    <mergeCell ref="A429:A431"/>
    <mergeCell ref="B429:B431"/>
    <mergeCell ref="C429:F430"/>
    <mergeCell ref="G429:G431"/>
    <mergeCell ref="H429:H431"/>
    <mergeCell ref="B433:H433"/>
    <mergeCell ref="B440:H440"/>
    <mergeCell ref="B444:H444"/>
    <mergeCell ref="B450:H450"/>
    <mergeCell ref="A456:H456"/>
    <mergeCell ref="A462:H462"/>
    <mergeCell ref="A463:H463"/>
    <mergeCell ref="A472:H472"/>
    <mergeCell ref="A474:A476"/>
    <mergeCell ref="B474:B476"/>
    <mergeCell ref="C474:F475"/>
    <mergeCell ref="G474:G476"/>
    <mergeCell ref="H474:H476"/>
    <mergeCell ref="B478:H478"/>
    <mergeCell ref="B485:H485"/>
    <mergeCell ref="B489:H489"/>
    <mergeCell ref="B495:H495"/>
    <mergeCell ref="A501:H501"/>
    <mergeCell ref="A507:H507"/>
    <mergeCell ref="A508:H508"/>
    <mergeCell ref="A517:H517"/>
    <mergeCell ref="A519:A521"/>
    <mergeCell ref="B519:B521"/>
    <mergeCell ref="C519:F520"/>
    <mergeCell ref="G519:G521"/>
    <mergeCell ref="H519:H521"/>
    <mergeCell ref="B523:H523"/>
    <mergeCell ref="B530:H530"/>
    <mergeCell ref="B534:H534"/>
    <mergeCell ref="B540:H540"/>
    <mergeCell ref="A546:H546"/>
    <mergeCell ref="A553:H553"/>
    <mergeCell ref="A554:H554"/>
    <mergeCell ref="A563:H563"/>
    <mergeCell ref="A565:A567"/>
    <mergeCell ref="B565:B567"/>
    <mergeCell ref="C565:F566"/>
    <mergeCell ref="G565:G567"/>
    <mergeCell ref="H565:H567"/>
    <mergeCell ref="B569:H569"/>
    <mergeCell ref="B576:H576"/>
    <mergeCell ref="B580:H580"/>
    <mergeCell ref="B586:H586"/>
    <mergeCell ref="A592:H592"/>
    <mergeCell ref="A599:H599"/>
    <mergeCell ref="A600:H600"/>
    <mergeCell ref="A609:H609"/>
    <mergeCell ref="A611:A613"/>
    <mergeCell ref="B611:B613"/>
    <mergeCell ref="C611:F612"/>
    <mergeCell ref="G611:G613"/>
    <mergeCell ref="H611:H613"/>
    <mergeCell ref="B615:H615"/>
    <mergeCell ref="B622:H622"/>
    <mergeCell ref="B626:H626"/>
    <mergeCell ref="B632:H632"/>
    <mergeCell ref="A638:H638"/>
    <mergeCell ref="A645:H645"/>
    <mergeCell ref="A646:H646"/>
    <mergeCell ref="A655:H655"/>
    <mergeCell ref="A657:A659"/>
    <mergeCell ref="B657:B659"/>
    <mergeCell ref="C657:F658"/>
    <mergeCell ref="G657:G659"/>
    <mergeCell ref="H657:H659"/>
    <mergeCell ref="B661:H661"/>
    <mergeCell ref="B668:H668"/>
    <mergeCell ref="B672:H672"/>
    <mergeCell ref="B678:H678"/>
    <mergeCell ref="A684:H684"/>
    <mergeCell ref="A691:H691"/>
    <mergeCell ref="A692:H692"/>
    <mergeCell ref="A701:H701"/>
    <mergeCell ref="A703:A705"/>
    <mergeCell ref="B703:B705"/>
    <mergeCell ref="C703:F704"/>
    <mergeCell ref="G703:G705"/>
    <mergeCell ref="H703:H705"/>
    <mergeCell ref="B707:H707"/>
    <mergeCell ref="B714:H714"/>
    <mergeCell ref="B718:H718"/>
    <mergeCell ref="B724:H724"/>
    <mergeCell ref="A730:H730"/>
    <mergeCell ref="A737:H737"/>
    <mergeCell ref="A738:H738"/>
    <mergeCell ref="A747:H747"/>
    <mergeCell ref="A749:A751"/>
    <mergeCell ref="B749:B751"/>
    <mergeCell ref="C749:F750"/>
    <mergeCell ref="G749:G751"/>
    <mergeCell ref="H749:H751"/>
    <mergeCell ref="B753:H753"/>
    <mergeCell ref="B760:H760"/>
    <mergeCell ref="B764:H764"/>
    <mergeCell ref="B770:H770"/>
    <mergeCell ref="A776:H776"/>
    <mergeCell ref="A783:H783"/>
    <mergeCell ref="A784:H784"/>
    <mergeCell ref="A793:H793"/>
    <mergeCell ref="A795:A797"/>
    <mergeCell ref="B795:B797"/>
    <mergeCell ref="C795:F796"/>
    <mergeCell ref="G795:G797"/>
    <mergeCell ref="H795:H797"/>
    <mergeCell ref="B799:H799"/>
    <mergeCell ref="B806:H806"/>
    <mergeCell ref="B810:H810"/>
    <mergeCell ref="B816:H816"/>
    <mergeCell ref="A822:H822"/>
    <mergeCell ref="A829:H829"/>
    <mergeCell ref="A830:H830"/>
    <mergeCell ref="A839:H839"/>
    <mergeCell ref="A841:A843"/>
    <mergeCell ref="B841:B843"/>
    <mergeCell ref="C841:F842"/>
    <mergeCell ref="G841:G843"/>
    <mergeCell ref="H841:H843"/>
    <mergeCell ref="B845:H845"/>
    <mergeCell ref="B852:H852"/>
    <mergeCell ref="B856:H856"/>
    <mergeCell ref="B862:H862"/>
    <mergeCell ref="A868:H868"/>
    <mergeCell ref="A875:H875"/>
    <mergeCell ref="A876:H876"/>
    <mergeCell ref="A885:H885"/>
    <mergeCell ref="A887:A889"/>
    <mergeCell ref="B887:B889"/>
    <mergeCell ref="C887:F888"/>
    <mergeCell ref="G887:G889"/>
    <mergeCell ref="H887:H889"/>
    <mergeCell ref="B891:H891"/>
    <mergeCell ref="B898:H898"/>
    <mergeCell ref="B902:H902"/>
    <mergeCell ref="B908:H908"/>
    <mergeCell ref="A914:H914"/>
    <mergeCell ref="A921:H921"/>
    <mergeCell ref="A922:H922"/>
    <mergeCell ref="A931:H931"/>
    <mergeCell ref="A933:A935"/>
    <mergeCell ref="B933:B935"/>
    <mergeCell ref="C933:F934"/>
    <mergeCell ref="G933:G935"/>
    <mergeCell ref="H933:H935"/>
    <mergeCell ref="B937:H937"/>
    <mergeCell ref="B944:H944"/>
    <mergeCell ref="B948:H948"/>
    <mergeCell ref="B954:H954"/>
    <mergeCell ref="A960:H960"/>
    <mergeCell ref="A967:H967"/>
    <mergeCell ref="A968:H968"/>
    <mergeCell ref="A977:H977"/>
    <mergeCell ref="A979:A981"/>
    <mergeCell ref="B979:B981"/>
    <mergeCell ref="C979:F980"/>
    <mergeCell ref="G979:G981"/>
    <mergeCell ref="H979:H981"/>
    <mergeCell ref="B983:H983"/>
    <mergeCell ref="B990:H990"/>
    <mergeCell ref="B994:H994"/>
    <mergeCell ref="B1000:H1000"/>
    <mergeCell ref="A1006:H1006"/>
    <mergeCell ref="A1013:H1013"/>
    <mergeCell ref="A1014:H1014"/>
    <mergeCell ref="A1023:H1023"/>
    <mergeCell ref="A1025:A1027"/>
    <mergeCell ref="B1025:B1027"/>
    <mergeCell ref="C1025:F1026"/>
    <mergeCell ref="G1025:G1027"/>
    <mergeCell ref="H1025:H1027"/>
    <mergeCell ref="B1029:H1029"/>
    <mergeCell ref="B1036:H1036"/>
    <mergeCell ref="B1040:H1040"/>
    <mergeCell ref="B1046:H1046"/>
    <mergeCell ref="A1052:H1052"/>
    <mergeCell ref="A1059:H1059"/>
    <mergeCell ref="A1060:H1060"/>
    <mergeCell ref="A1069:H1069"/>
    <mergeCell ref="A1071:A1073"/>
    <mergeCell ref="B1071:B1073"/>
    <mergeCell ref="C1071:F1072"/>
    <mergeCell ref="G1071:G1073"/>
    <mergeCell ref="H1071:H1073"/>
    <mergeCell ref="B1075:H1075"/>
    <mergeCell ref="B1082:H1082"/>
    <mergeCell ref="B1086:H1086"/>
    <mergeCell ref="B1092:H1092"/>
    <mergeCell ref="A1098:H1098"/>
    <mergeCell ref="A1105:H1105"/>
    <mergeCell ref="A1106:H1106"/>
    <mergeCell ref="A1115:H1115"/>
    <mergeCell ref="A1117:A1119"/>
    <mergeCell ref="B1117:B1119"/>
    <mergeCell ref="C1117:F1118"/>
    <mergeCell ref="G1117:G1119"/>
    <mergeCell ref="H1117:H1119"/>
    <mergeCell ref="B1121:H1121"/>
    <mergeCell ref="B1128:H1128"/>
    <mergeCell ref="B1132:H1132"/>
    <mergeCell ref="B1138:H1138"/>
    <mergeCell ref="A1144:H1144"/>
    <mergeCell ref="A1151:H1151"/>
    <mergeCell ref="A1152:H1152"/>
    <mergeCell ref="A1161:H1161"/>
    <mergeCell ref="A1163:A1165"/>
    <mergeCell ref="B1163:B1165"/>
    <mergeCell ref="C1163:F1164"/>
    <mergeCell ref="G1163:G1165"/>
    <mergeCell ref="H1163:H1165"/>
    <mergeCell ref="B1167:H1167"/>
    <mergeCell ref="B1174:H1174"/>
    <mergeCell ref="B1178:H1178"/>
    <mergeCell ref="B1184:H1184"/>
    <mergeCell ref="A1190:H1190"/>
    <mergeCell ref="A1197:H1197"/>
    <mergeCell ref="A1198:H1198"/>
    <mergeCell ref="A1207:H1207"/>
    <mergeCell ref="A1209:A1211"/>
    <mergeCell ref="B1209:B1211"/>
    <mergeCell ref="C1209:F1210"/>
    <mergeCell ref="G1209:G1211"/>
    <mergeCell ref="H1209:H1211"/>
    <mergeCell ref="B1213:H1213"/>
    <mergeCell ref="B1220:H1220"/>
    <mergeCell ref="B1224:H1224"/>
    <mergeCell ref="B1230:H1230"/>
    <mergeCell ref="A1236:H1236"/>
    <mergeCell ref="A1243:H1243"/>
    <mergeCell ref="A1244:H1244"/>
    <mergeCell ref="A1253:H1253"/>
    <mergeCell ref="A1255:A1257"/>
    <mergeCell ref="B1255:B1257"/>
    <mergeCell ref="C1255:F1256"/>
    <mergeCell ref="G1255:G1257"/>
    <mergeCell ref="H1255:H1257"/>
    <mergeCell ref="B1259:H1259"/>
    <mergeCell ref="B1266:H1266"/>
    <mergeCell ref="B1270:H1270"/>
    <mergeCell ref="B1276:H1276"/>
    <mergeCell ref="A1282:H1282"/>
    <mergeCell ref="A1294:H1294"/>
    <mergeCell ref="A1295:H1295"/>
    <mergeCell ref="A1304:H1304"/>
    <mergeCell ref="A1306:A1308"/>
    <mergeCell ref="B1306:B1308"/>
    <mergeCell ref="C1306:F1307"/>
    <mergeCell ref="G1306:G1308"/>
    <mergeCell ref="H1306:H1308"/>
    <mergeCell ref="B1310:H1310"/>
    <mergeCell ref="B1317:H1317"/>
    <mergeCell ref="B1321:H1321"/>
    <mergeCell ref="B1327:H1327"/>
    <mergeCell ref="A1333:H1333"/>
    <mergeCell ref="A1343:H1343"/>
    <mergeCell ref="A1344:H1344"/>
    <mergeCell ref="A1353:H1353"/>
    <mergeCell ref="A1355:A1357"/>
    <mergeCell ref="B1355:B1357"/>
    <mergeCell ref="C1355:F1356"/>
    <mergeCell ref="G1355:G1357"/>
    <mergeCell ref="H1355:H1357"/>
    <mergeCell ref="B1359:H1359"/>
    <mergeCell ref="B1366:H1366"/>
    <mergeCell ref="B1370:H1370"/>
    <mergeCell ref="B1376:H1376"/>
    <mergeCell ref="A1382:H1382"/>
    <mergeCell ref="A1390:H1390"/>
    <mergeCell ref="A1391:H1391"/>
    <mergeCell ref="A1400:H1400"/>
    <mergeCell ref="A1402:A1404"/>
    <mergeCell ref="B1402:B1404"/>
    <mergeCell ref="C1402:F1403"/>
    <mergeCell ref="G1402:G1404"/>
    <mergeCell ref="H1402:H1404"/>
    <mergeCell ref="B1406:H1406"/>
    <mergeCell ref="B1413:H1413"/>
    <mergeCell ref="B1417:H1417"/>
    <mergeCell ref="B1423:H1423"/>
    <mergeCell ref="A1429:H1429"/>
    <mergeCell ref="A1438:H1438"/>
    <mergeCell ref="A1439:H1439"/>
    <mergeCell ref="A1448:H1448"/>
    <mergeCell ref="A1450:A1452"/>
    <mergeCell ref="B1450:B1452"/>
    <mergeCell ref="C1450:F1451"/>
    <mergeCell ref="G1450:G1452"/>
    <mergeCell ref="H1450:H1452"/>
    <mergeCell ref="B1454:H1454"/>
    <mergeCell ref="B1461:H1461"/>
    <mergeCell ref="B1465:H1465"/>
    <mergeCell ref="B1471:H1471"/>
    <mergeCell ref="A1477:H1477"/>
    <mergeCell ref="A1486:H1486"/>
    <mergeCell ref="A1487:H1487"/>
    <mergeCell ref="A1496:H1496"/>
    <mergeCell ref="A1498:A1500"/>
    <mergeCell ref="B1498:B1500"/>
    <mergeCell ref="C1498:F1499"/>
    <mergeCell ref="G1498:G1500"/>
    <mergeCell ref="H1498:H1500"/>
    <mergeCell ref="B1502:H1502"/>
    <mergeCell ref="B1509:H1509"/>
    <mergeCell ref="B1513:H1513"/>
    <mergeCell ref="B1519:H1519"/>
    <mergeCell ref="A1525:H1525"/>
    <mergeCell ref="A1535:H1535"/>
    <mergeCell ref="A1536:H1536"/>
    <mergeCell ref="A1545:H1545"/>
    <mergeCell ref="A1547:A1549"/>
    <mergeCell ref="B1547:B1549"/>
    <mergeCell ref="C1547:F1548"/>
    <mergeCell ref="G1547:G1549"/>
    <mergeCell ref="H1547:H1549"/>
    <mergeCell ref="B1551:H1551"/>
    <mergeCell ref="B1558:H1558"/>
    <mergeCell ref="B1562:H1562"/>
    <mergeCell ref="B1568:H1568"/>
    <mergeCell ref="A1574:H1574"/>
    <mergeCell ref="A1582:H1582"/>
    <mergeCell ref="A1583:H1583"/>
    <mergeCell ref="A1592:H1592"/>
    <mergeCell ref="A1594:A1596"/>
    <mergeCell ref="B1594:B1596"/>
    <mergeCell ref="C1594:F1595"/>
    <mergeCell ref="G1594:G1596"/>
    <mergeCell ref="H1594:H1596"/>
    <mergeCell ref="B1598:H1598"/>
    <mergeCell ref="B1605:H1605"/>
    <mergeCell ref="B1609:H1609"/>
    <mergeCell ref="B1615:H1615"/>
    <mergeCell ref="A1621:H1621"/>
    <mergeCell ref="A1631:H1631"/>
    <mergeCell ref="A1632:H1632"/>
    <mergeCell ref="A1641:H1641"/>
    <mergeCell ref="A1643:A1645"/>
    <mergeCell ref="B1643:B1645"/>
    <mergeCell ref="C1643:F1644"/>
    <mergeCell ref="G1643:G1645"/>
    <mergeCell ref="H1643:H1645"/>
    <mergeCell ref="B1647:H1647"/>
    <mergeCell ref="B1654:H1654"/>
    <mergeCell ref="B1658:H1658"/>
    <mergeCell ref="B1664:H1664"/>
    <mergeCell ref="A1670:H1670"/>
    <mergeCell ref="A1678:H1678"/>
    <mergeCell ref="A1679:H1679"/>
    <mergeCell ref="A1688:H1688"/>
    <mergeCell ref="A1690:A1692"/>
    <mergeCell ref="B1690:B1692"/>
    <mergeCell ref="C1690:F1691"/>
    <mergeCell ref="G1690:G1692"/>
    <mergeCell ref="H1690:H1692"/>
    <mergeCell ref="B1694:H1694"/>
    <mergeCell ref="B1701:H1701"/>
    <mergeCell ref="B1705:H1705"/>
    <mergeCell ref="B1711:H1711"/>
    <mergeCell ref="A1717:H1717"/>
    <mergeCell ref="A1727:H1727"/>
    <mergeCell ref="A1728:H1728"/>
    <mergeCell ref="A1737:H1737"/>
    <mergeCell ref="A1739:A1741"/>
    <mergeCell ref="B1739:B1741"/>
    <mergeCell ref="C1739:F1740"/>
    <mergeCell ref="G1739:G1741"/>
    <mergeCell ref="H1739:H1741"/>
    <mergeCell ref="B1743:H1743"/>
    <mergeCell ref="B1750:H1750"/>
    <mergeCell ref="B1754:H1754"/>
    <mergeCell ref="B1760:H1760"/>
    <mergeCell ref="A1766:H1766"/>
    <mergeCell ref="A1774:H1774"/>
    <mergeCell ref="A1775:H1775"/>
    <mergeCell ref="A1784:H1784"/>
    <mergeCell ref="A1786:A1788"/>
    <mergeCell ref="B1786:B1788"/>
    <mergeCell ref="C1786:F1787"/>
    <mergeCell ref="G1786:G1788"/>
    <mergeCell ref="H1786:H1788"/>
    <mergeCell ref="B1790:H1790"/>
    <mergeCell ref="B1797:H1797"/>
    <mergeCell ref="B1801:H1801"/>
    <mergeCell ref="B1807:H1807"/>
    <mergeCell ref="A1813:H1813"/>
    <mergeCell ref="A1823:H1823"/>
    <mergeCell ref="A1824:H1824"/>
    <mergeCell ref="A1833:H1833"/>
    <mergeCell ref="A1835:A1837"/>
    <mergeCell ref="B1835:B1837"/>
    <mergeCell ref="C1835:F1836"/>
    <mergeCell ref="G1835:G1837"/>
    <mergeCell ref="H1835:H1837"/>
    <mergeCell ref="B1839:H1839"/>
    <mergeCell ref="B1846:H1846"/>
    <mergeCell ref="B1850:H1850"/>
    <mergeCell ref="B1856:H1856"/>
    <mergeCell ref="A1862:H1862"/>
    <mergeCell ref="A1870:H1870"/>
    <mergeCell ref="A1871:H1871"/>
    <mergeCell ref="A1880:H1880"/>
    <mergeCell ref="A1882:A1884"/>
    <mergeCell ref="B1882:B1884"/>
    <mergeCell ref="C1882:F1883"/>
    <mergeCell ref="G1882:G1884"/>
    <mergeCell ref="H1882:H1884"/>
    <mergeCell ref="B1886:H1886"/>
    <mergeCell ref="B1893:H1893"/>
    <mergeCell ref="B1897:H1897"/>
    <mergeCell ref="B1903:H1903"/>
    <mergeCell ref="A1909:H1909"/>
    <mergeCell ref="A1919:H1919"/>
    <mergeCell ref="A1920:H1920"/>
    <mergeCell ref="A1929:H1929"/>
    <mergeCell ref="A1931:A1933"/>
    <mergeCell ref="B1931:B1933"/>
    <mergeCell ref="C1931:F1932"/>
    <mergeCell ref="G1931:G1933"/>
    <mergeCell ref="H1931:H1933"/>
    <mergeCell ref="B1935:H1935"/>
    <mergeCell ref="B1942:H1942"/>
    <mergeCell ref="B1946:H1946"/>
    <mergeCell ref="B1952:H1952"/>
    <mergeCell ref="A1958:H1958"/>
    <mergeCell ref="A1966:H1966"/>
    <mergeCell ref="A1967:H1967"/>
    <mergeCell ref="A1976:H1976"/>
    <mergeCell ref="A1978:A1980"/>
    <mergeCell ref="B1978:B1980"/>
    <mergeCell ref="C1978:F1979"/>
    <mergeCell ref="G1978:G1980"/>
    <mergeCell ref="H1978:H1980"/>
    <mergeCell ref="B1982:H1982"/>
    <mergeCell ref="B1989:H1989"/>
    <mergeCell ref="B1993:H1993"/>
    <mergeCell ref="B1999:H1999"/>
    <mergeCell ref="A2005:H2005"/>
    <mergeCell ref="A2015:H2015"/>
    <mergeCell ref="A2016:H2016"/>
    <mergeCell ref="A2025:H2025"/>
    <mergeCell ref="A2027:A2029"/>
    <mergeCell ref="B2027:B2029"/>
    <mergeCell ref="C2027:F2028"/>
    <mergeCell ref="G2027:G2029"/>
    <mergeCell ref="H2027:H2029"/>
    <mergeCell ref="B2031:H2031"/>
    <mergeCell ref="B2038:H2038"/>
    <mergeCell ref="B2042:H2042"/>
    <mergeCell ref="B2048:H2048"/>
    <mergeCell ref="A2054:H2054"/>
    <mergeCell ref="A2062:H2062"/>
    <mergeCell ref="A2063:H2063"/>
    <mergeCell ref="A2072:H2072"/>
    <mergeCell ref="A2074:A2076"/>
    <mergeCell ref="B2074:B2076"/>
    <mergeCell ref="C2074:F2075"/>
    <mergeCell ref="G2074:G2076"/>
    <mergeCell ref="H2074:H2076"/>
    <mergeCell ref="B2078:H2078"/>
    <mergeCell ref="B2085:H2085"/>
    <mergeCell ref="B2089:H2089"/>
    <mergeCell ref="B2095:H2095"/>
    <mergeCell ref="A2101:H2101"/>
    <mergeCell ref="A2111:H2111"/>
    <mergeCell ref="A2112:H2112"/>
    <mergeCell ref="A2121:H2121"/>
    <mergeCell ref="A2123:A2125"/>
    <mergeCell ref="B2123:B2125"/>
    <mergeCell ref="C2123:F2124"/>
    <mergeCell ref="G2123:G2125"/>
    <mergeCell ref="H2123:H2125"/>
    <mergeCell ref="B2127:H2127"/>
    <mergeCell ref="B2134:H2134"/>
    <mergeCell ref="B2138:H2138"/>
    <mergeCell ref="B2144:H2144"/>
    <mergeCell ref="A2150:H2150"/>
    <mergeCell ref="A2159:H2159"/>
    <mergeCell ref="A2160:H2160"/>
    <mergeCell ref="A2169:H2169"/>
    <mergeCell ref="A2171:A2173"/>
    <mergeCell ref="B2171:B2173"/>
    <mergeCell ref="C2171:F2172"/>
    <mergeCell ref="G2171:G2173"/>
    <mergeCell ref="H2171:H2173"/>
    <mergeCell ref="B2175:H2175"/>
    <mergeCell ref="B2182:H2182"/>
    <mergeCell ref="B2186:H2186"/>
    <mergeCell ref="B2192:H2192"/>
    <mergeCell ref="A2198:H2198"/>
    <mergeCell ref="A2207:H2207"/>
    <mergeCell ref="A2208:H2208"/>
    <mergeCell ref="A2217:H2217"/>
    <mergeCell ref="A2219:A2221"/>
    <mergeCell ref="B2219:B2221"/>
    <mergeCell ref="C2219:F2220"/>
    <mergeCell ref="G2219:G2221"/>
    <mergeCell ref="H2219:H2221"/>
    <mergeCell ref="B2223:H2223"/>
    <mergeCell ref="B2230:H2230"/>
    <mergeCell ref="B2234:H2234"/>
    <mergeCell ref="B2240:H2240"/>
    <mergeCell ref="A2246:H2246"/>
    <mergeCell ref="A2254:H2254"/>
    <mergeCell ref="A2255:H2255"/>
    <mergeCell ref="A2264:H2264"/>
    <mergeCell ref="A2266:A2268"/>
    <mergeCell ref="B2266:B2268"/>
    <mergeCell ref="C2266:F2267"/>
    <mergeCell ref="G2266:G2268"/>
    <mergeCell ref="H2266:H2268"/>
    <mergeCell ref="B2270:H2270"/>
    <mergeCell ref="B2277:H2277"/>
    <mergeCell ref="B2281:H2281"/>
    <mergeCell ref="B2287:H2287"/>
    <mergeCell ref="A2293:H2293"/>
    <mergeCell ref="A2302:H2302"/>
    <mergeCell ref="A2303:H2303"/>
    <mergeCell ref="A2312:H2312"/>
    <mergeCell ref="A2314:A2316"/>
    <mergeCell ref="B2314:B2316"/>
    <mergeCell ref="C2314:F2315"/>
    <mergeCell ref="G2314:G2316"/>
    <mergeCell ref="H2314:H2316"/>
    <mergeCell ref="B2318:H2318"/>
    <mergeCell ref="B2325:H2325"/>
    <mergeCell ref="B2329:H2329"/>
    <mergeCell ref="B2335:H2335"/>
    <mergeCell ref="A2341:H2341"/>
    <mergeCell ref="A2351:H2351"/>
    <mergeCell ref="A2352:H2352"/>
    <mergeCell ref="A2361:H2361"/>
    <mergeCell ref="A2363:A2365"/>
    <mergeCell ref="B2363:B2365"/>
    <mergeCell ref="C2363:F2364"/>
    <mergeCell ref="G2363:G2365"/>
    <mergeCell ref="H2363:H2365"/>
    <mergeCell ref="B2367:H2367"/>
    <mergeCell ref="B2374:H2374"/>
    <mergeCell ref="B2378:H2378"/>
    <mergeCell ref="B2384:H2384"/>
    <mergeCell ref="A2390:H2390"/>
    <mergeCell ref="A2399:H2399"/>
    <mergeCell ref="A2400:H2400"/>
    <mergeCell ref="A2409:H2409"/>
    <mergeCell ref="A2411:A2413"/>
    <mergeCell ref="B2411:B2413"/>
    <mergeCell ref="C2411:F2412"/>
    <mergeCell ref="G2411:G2413"/>
    <mergeCell ref="H2411:H2413"/>
    <mergeCell ref="B2415:H2415"/>
    <mergeCell ref="B2422:H2422"/>
    <mergeCell ref="B2426:H2426"/>
    <mergeCell ref="B2432:H2432"/>
    <mergeCell ref="A2438:H2438"/>
    <mergeCell ref="A2446:H2446"/>
    <mergeCell ref="A2447:H2447"/>
    <mergeCell ref="A2456:H2456"/>
    <mergeCell ref="A2458:A2460"/>
    <mergeCell ref="B2458:B2460"/>
    <mergeCell ref="C2458:F2459"/>
    <mergeCell ref="G2458:G2460"/>
    <mergeCell ref="H2458:H2460"/>
    <mergeCell ref="B2462:H2462"/>
    <mergeCell ref="B2469:H2469"/>
    <mergeCell ref="B2473:H2473"/>
    <mergeCell ref="B2479:H2479"/>
    <mergeCell ref="A2485:H2485"/>
    <mergeCell ref="A2495:H2495"/>
    <mergeCell ref="A2496:H2496"/>
    <mergeCell ref="A2505:H2505"/>
    <mergeCell ref="A2507:A2509"/>
    <mergeCell ref="B2507:B2509"/>
    <mergeCell ref="C2507:F2508"/>
    <mergeCell ref="G2507:G2509"/>
    <mergeCell ref="H2507:H2509"/>
    <mergeCell ref="B2511:H2511"/>
    <mergeCell ref="B2518:H2518"/>
    <mergeCell ref="B2522:H2522"/>
    <mergeCell ref="B2528:H2528"/>
    <mergeCell ref="A2534:H2534"/>
    <mergeCell ref="A2542:H2542"/>
    <mergeCell ref="A2543:H2543"/>
    <mergeCell ref="A2552:H2552"/>
    <mergeCell ref="A2554:A2556"/>
    <mergeCell ref="B2554:B2556"/>
    <mergeCell ref="C2554:F2555"/>
    <mergeCell ref="G2554:G2556"/>
    <mergeCell ref="H2554:H2556"/>
    <mergeCell ref="B2558:H2558"/>
    <mergeCell ref="B2565:H2565"/>
    <mergeCell ref="B2569:H2569"/>
    <mergeCell ref="B2575:H2575"/>
    <mergeCell ref="A2581:H2581"/>
    <mergeCell ref="A2591:H2591"/>
    <mergeCell ref="A2592:H2592"/>
    <mergeCell ref="A2601:H2601"/>
    <mergeCell ref="A2603:A2605"/>
    <mergeCell ref="B2603:B2605"/>
    <mergeCell ref="C2603:F2604"/>
    <mergeCell ref="G2603:G2605"/>
    <mergeCell ref="H2603:H2605"/>
    <mergeCell ref="B2607:H2607"/>
    <mergeCell ref="B2614:H2614"/>
    <mergeCell ref="B2618:H2618"/>
    <mergeCell ref="B2624:H2624"/>
    <mergeCell ref="A2630:H2630"/>
    <mergeCell ref="A2638:H2638"/>
    <mergeCell ref="A2639:H2639"/>
    <mergeCell ref="A2648:H2648"/>
    <mergeCell ref="A2650:A2652"/>
    <mergeCell ref="B2650:B2652"/>
    <mergeCell ref="C2650:F2651"/>
    <mergeCell ref="G2650:G2652"/>
    <mergeCell ref="H2650:H2652"/>
    <mergeCell ref="B2654:H2654"/>
    <mergeCell ref="B2661:H2661"/>
    <mergeCell ref="B2665:H2665"/>
    <mergeCell ref="B2671:H2671"/>
    <mergeCell ref="A2677:H2677"/>
    <mergeCell ref="A2687:H2687"/>
    <mergeCell ref="A2688:H2688"/>
    <mergeCell ref="A2697:H2697"/>
    <mergeCell ref="A2699:A2701"/>
    <mergeCell ref="B2699:B2701"/>
    <mergeCell ref="C2699:F2700"/>
    <mergeCell ref="G2699:G2701"/>
    <mergeCell ref="H2699:H2701"/>
    <mergeCell ref="B2703:H2703"/>
    <mergeCell ref="B2710:H2710"/>
    <mergeCell ref="B2714:H2714"/>
    <mergeCell ref="B2720:H2720"/>
    <mergeCell ref="A2726:H2726"/>
    <mergeCell ref="A2735:H2735"/>
    <mergeCell ref="A2736:H2736"/>
    <mergeCell ref="A2745:H2745"/>
    <mergeCell ref="A2747:A2749"/>
    <mergeCell ref="B2747:B2749"/>
    <mergeCell ref="C2747:F2748"/>
    <mergeCell ref="G2747:G2749"/>
    <mergeCell ref="H2747:H2749"/>
    <mergeCell ref="B2751:H2751"/>
    <mergeCell ref="B2758:H2758"/>
    <mergeCell ref="B2762:H2762"/>
    <mergeCell ref="B2768:H2768"/>
    <mergeCell ref="H2794:H2796"/>
    <mergeCell ref="B3809:H3809"/>
    <mergeCell ref="B3816:H3816"/>
    <mergeCell ref="B3820:H3820"/>
    <mergeCell ref="A3793:H3793"/>
    <mergeCell ref="A3794:H3794"/>
    <mergeCell ref="A3803:H3803"/>
    <mergeCell ref="A3805:A3807"/>
    <mergeCell ref="B3805:B3807"/>
    <mergeCell ref="C3805:F3806"/>
    <mergeCell ref="A2794:A2796"/>
    <mergeCell ref="B2794:B2796"/>
    <mergeCell ref="C2794:F2795"/>
    <mergeCell ref="G2794:G2796"/>
    <mergeCell ref="A2774:H2774"/>
    <mergeCell ref="A2782:H2782"/>
    <mergeCell ref="A2783:H2783"/>
    <mergeCell ref="A2792:H2792"/>
    <mergeCell ref="B2798:H2798"/>
    <mergeCell ref="B2805:H2805"/>
    <mergeCell ref="B2809:H2809"/>
    <mergeCell ref="B2815:H2815"/>
    <mergeCell ref="A2821:H2821"/>
    <mergeCell ref="A2831:H2831"/>
    <mergeCell ref="A2832:H2832"/>
    <mergeCell ref="A2841:H2841"/>
    <mergeCell ref="A2843:A2845"/>
    <mergeCell ref="B2843:B2845"/>
    <mergeCell ref="C2843:F2844"/>
    <mergeCell ref="G2843:G2845"/>
    <mergeCell ref="H2843:H2845"/>
    <mergeCell ref="B2847:H2847"/>
    <mergeCell ref="B2854:H2854"/>
    <mergeCell ref="B2858:H2858"/>
    <mergeCell ref="B2864:H2864"/>
    <mergeCell ref="A2870:H2870"/>
    <mergeCell ref="A2878:H2878"/>
    <mergeCell ref="A2879:H2879"/>
    <mergeCell ref="A2888:H2888"/>
    <mergeCell ref="A2890:A2892"/>
    <mergeCell ref="B2890:B2892"/>
    <mergeCell ref="C2890:F2891"/>
    <mergeCell ref="G2890:G2892"/>
    <mergeCell ref="H2890:H2892"/>
    <mergeCell ref="B2894:H2894"/>
    <mergeCell ref="B2901:H2901"/>
    <mergeCell ref="B2905:H2905"/>
    <mergeCell ref="B2911:H2911"/>
    <mergeCell ref="A2917:H2917"/>
    <mergeCell ref="A2927:H2927"/>
    <mergeCell ref="A2928:H2928"/>
    <mergeCell ref="A2937:H2937"/>
    <mergeCell ref="A2939:A2941"/>
    <mergeCell ref="B2939:B2941"/>
    <mergeCell ref="C2939:F2940"/>
    <mergeCell ref="G2939:G2941"/>
    <mergeCell ref="H2939:H2941"/>
    <mergeCell ref="B2943:H2943"/>
    <mergeCell ref="B2950:H2950"/>
    <mergeCell ref="B2954:H2954"/>
    <mergeCell ref="B2960:H2960"/>
    <mergeCell ref="A2966:H2966"/>
    <mergeCell ref="A2974:H2974"/>
    <mergeCell ref="A2975:H2975"/>
    <mergeCell ref="A2984:H2984"/>
    <mergeCell ref="A2986:A2988"/>
    <mergeCell ref="B2986:B2988"/>
    <mergeCell ref="C2986:F2987"/>
    <mergeCell ref="G2986:G2988"/>
    <mergeCell ref="H2986:H2988"/>
    <mergeCell ref="B2990:H2990"/>
    <mergeCell ref="B2997:H2997"/>
    <mergeCell ref="B3001:H3001"/>
    <mergeCell ref="B3007:H3007"/>
    <mergeCell ref="A3013:H3013"/>
    <mergeCell ref="A3022:H3022"/>
    <mergeCell ref="A3023:H3023"/>
    <mergeCell ref="A3032:H3032"/>
    <mergeCell ref="A3034:A3036"/>
    <mergeCell ref="B3034:B3036"/>
    <mergeCell ref="C3034:F3035"/>
    <mergeCell ref="G3034:G3036"/>
    <mergeCell ref="H3034:H3036"/>
    <mergeCell ref="B3038:H3038"/>
    <mergeCell ref="B3045:H3045"/>
    <mergeCell ref="B3049:H3049"/>
    <mergeCell ref="B3055:H3055"/>
    <mergeCell ref="A3061:H3061"/>
    <mergeCell ref="A3071:H3071"/>
    <mergeCell ref="A3072:H3072"/>
    <mergeCell ref="A3081:H3081"/>
    <mergeCell ref="A3083:A3085"/>
    <mergeCell ref="B3083:B3085"/>
    <mergeCell ref="C3083:F3084"/>
    <mergeCell ref="G3083:G3085"/>
    <mergeCell ref="H3083:H3085"/>
    <mergeCell ref="B3087:H3087"/>
    <mergeCell ref="B3094:H3094"/>
    <mergeCell ref="B3098:H3098"/>
    <mergeCell ref="B3104:H3104"/>
    <mergeCell ref="A3110:H3110"/>
    <mergeCell ref="A3118:H3118"/>
    <mergeCell ref="A3119:H3119"/>
    <mergeCell ref="A3128:H3128"/>
    <mergeCell ref="A3130:A3132"/>
    <mergeCell ref="B3130:B3132"/>
    <mergeCell ref="C3130:F3131"/>
    <mergeCell ref="G3130:G3132"/>
    <mergeCell ref="H3130:H3132"/>
    <mergeCell ref="B3134:H3134"/>
    <mergeCell ref="B3141:H3141"/>
    <mergeCell ref="B3145:H3145"/>
    <mergeCell ref="B3151:H3151"/>
    <mergeCell ref="A3157:H3157"/>
    <mergeCell ref="A3167:H3167"/>
    <mergeCell ref="A3168:H3168"/>
    <mergeCell ref="A3177:H3177"/>
    <mergeCell ref="A3179:A3181"/>
    <mergeCell ref="B3179:B3181"/>
    <mergeCell ref="C3179:F3180"/>
    <mergeCell ref="G3179:G3181"/>
    <mergeCell ref="H3179:H3181"/>
    <mergeCell ref="B3183:H3183"/>
    <mergeCell ref="B3190:H3190"/>
    <mergeCell ref="B3194:H3194"/>
    <mergeCell ref="B3200:H3200"/>
    <mergeCell ref="A3206:H3206"/>
    <mergeCell ref="A3215:H3215"/>
    <mergeCell ref="A3216:H3216"/>
    <mergeCell ref="A3225:H3225"/>
    <mergeCell ref="A3227:A3229"/>
    <mergeCell ref="B3227:B3229"/>
    <mergeCell ref="C3227:F3228"/>
    <mergeCell ref="G3227:G3229"/>
    <mergeCell ref="H3227:H3229"/>
    <mergeCell ref="B3231:H3231"/>
    <mergeCell ref="B3238:H3238"/>
    <mergeCell ref="B3242:H3242"/>
    <mergeCell ref="B3248:H3248"/>
    <mergeCell ref="A3254:H3254"/>
    <mergeCell ref="A3263:H3263"/>
    <mergeCell ref="A3264:H3264"/>
    <mergeCell ref="A3273:H3273"/>
    <mergeCell ref="A3275:A3277"/>
    <mergeCell ref="B3275:B3277"/>
    <mergeCell ref="C3275:F3276"/>
    <mergeCell ref="G3275:G3277"/>
    <mergeCell ref="H3275:H3277"/>
    <mergeCell ref="B3279:H3279"/>
    <mergeCell ref="B3286:H3286"/>
    <mergeCell ref="B3290:H3290"/>
    <mergeCell ref="B3296:H3296"/>
    <mergeCell ref="A3302:H3302"/>
    <mergeCell ref="A3310:H3310"/>
    <mergeCell ref="A3311:H3311"/>
    <mergeCell ref="A3320:H3320"/>
    <mergeCell ref="A3322:A3324"/>
    <mergeCell ref="B3322:B3324"/>
    <mergeCell ref="C3322:F3323"/>
    <mergeCell ref="G3322:G3324"/>
    <mergeCell ref="H3322:H3324"/>
    <mergeCell ref="B3326:H3326"/>
    <mergeCell ref="B3333:H3333"/>
    <mergeCell ref="B3337:H3337"/>
    <mergeCell ref="B3343:H3343"/>
    <mergeCell ref="A3349:H3349"/>
    <mergeCell ref="A3359:H3359"/>
    <mergeCell ref="A3360:H3360"/>
    <mergeCell ref="A3369:H3369"/>
    <mergeCell ref="A3371:A3373"/>
    <mergeCell ref="B3371:B3373"/>
    <mergeCell ref="C3371:F3372"/>
    <mergeCell ref="G3371:G3373"/>
    <mergeCell ref="H3371:H3373"/>
    <mergeCell ref="B3375:H3375"/>
    <mergeCell ref="B3382:H3382"/>
    <mergeCell ref="B3386:H3386"/>
    <mergeCell ref="B3392:H3392"/>
    <mergeCell ref="A3398:H3398"/>
    <mergeCell ref="A3406:H3406"/>
    <mergeCell ref="A3407:H3407"/>
    <mergeCell ref="A3416:H3416"/>
    <mergeCell ref="A3418:A3420"/>
    <mergeCell ref="B3418:B3420"/>
    <mergeCell ref="C3418:F3419"/>
    <mergeCell ref="G3418:G3420"/>
    <mergeCell ref="H3418:H3420"/>
    <mergeCell ref="B3422:H3422"/>
    <mergeCell ref="B3429:H3429"/>
    <mergeCell ref="B3433:H3433"/>
    <mergeCell ref="B3439:H3439"/>
    <mergeCell ref="A3445:H3445"/>
    <mergeCell ref="A3455:H3455"/>
    <mergeCell ref="A3456:H3456"/>
    <mergeCell ref="A3465:H3465"/>
    <mergeCell ref="A3467:A3469"/>
    <mergeCell ref="B3467:B3469"/>
    <mergeCell ref="C3467:F3468"/>
    <mergeCell ref="G3467:G3469"/>
    <mergeCell ref="H3467:H3469"/>
    <mergeCell ref="B3471:H3471"/>
    <mergeCell ref="B3478:H3478"/>
    <mergeCell ref="B3482:H3482"/>
    <mergeCell ref="B3488:H3488"/>
    <mergeCell ref="A3494:H3494"/>
    <mergeCell ref="A3502:H3502"/>
    <mergeCell ref="A3503:H3503"/>
    <mergeCell ref="A3512:H3512"/>
    <mergeCell ref="A3514:A3516"/>
    <mergeCell ref="B3514:B3516"/>
    <mergeCell ref="C3514:F3515"/>
    <mergeCell ref="G3514:G3516"/>
    <mergeCell ref="H3514:H3516"/>
    <mergeCell ref="B3518:H3518"/>
    <mergeCell ref="B3525:H3525"/>
    <mergeCell ref="B3529:H3529"/>
    <mergeCell ref="B3535:H3535"/>
    <mergeCell ref="A3541:H3541"/>
    <mergeCell ref="A3550:H3550"/>
    <mergeCell ref="A3551:H3551"/>
    <mergeCell ref="A3560:H3560"/>
    <mergeCell ref="A3562:A3564"/>
    <mergeCell ref="B3562:B3564"/>
    <mergeCell ref="C3562:F3563"/>
    <mergeCell ref="G3562:G3564"/>
    <mergeCell ref="H3562:H3564"/>
    <mergeCell ref="B3566:H3566"/>
    <mergeCell ref="B3573:H3573"/>
    <mergeCell ref="B3577:H3577"/>
    <mergeCell ref="B3583:H3583"/>
    <mergeCell ref="A3589:H3589"/>
    <mergeCell ref="A3598:H3598"/>
    <mergeCell ref="A3599:H3599"/>
    <mergeCell ref="A3608:H3608"/>
    <mergeCell ref="A3610:A3612"/>
    <mergeCell ref="B3610:B3612"/>
    <mergeCell ref="C3610:F3611"/>
    <mergeCell ref="G3610:G3612"/>
    <mergeCell ref="H3610:H3612"/>
    <mergeCell ref="B3614:H3614"/>
    <mergeCell ref="B3621:H3621"/>
    <mergeCell ref="B3625:H3625"/>
    <mergeCell ref="B3631:H3631"/>
    <mergeCell ref="A3637:H3637"/>
    <mergeCell ref="A3647:H3647"/>
    <mergeCell ref="A3648:H3648"/>
    <mergeCell ref="A3657:H3657"/>
    <mergeCell ref="A3659:A3661"/>
    <mergeCell ref="B3659:B3661"/>
    <mergeCell ref="C3659:F3660"/>
    <mergeCell ref="G3659:G3661"/>
    <mergeCell ref="H3659:H3661"/>
    <mergeCell ref="B3663:H3663"/>
    <mergeCell ref="B3670:H3670"/>
    <mergeCell ref="B3674:H3674"/>
    <mergeCell ref="B3680:H3680"/>
    <mergeCell ref="A3686:H3686"/>
    <mergeCell ref="A3695:H3695"/>
    <mergeCell ref="A3696:H3696"/>
    <mergeCell ref="A3705:H3705"/>
    <mergeCell ref="A3707:A3709"/>
    <mergeCell ref="B3707:B3709"/>
    <mergeCell ref="C3707:F3708"/>
    <mergeCell ref="G3707:G3709"/>
    <mergeCell ref="H3707:H3709"/>
    <mergeCell ref="B3711:H3711"/>
    <mergeCell ref="B3718:H3718"/>
    <mergeCell ref="B3722:H3722"/>
    <mergeCell ref="B3728:H3728"/>
    <mergeCell ref="A3734:H3734"/>
    <mergeCell ref="A3742:H3742"/>
    <mergeCell ref="A3743:H3743"/>
    <mergeCell ref="A3752:H3752"/>
    <mergeCell ref="A3754:A3756"/>
    <mergeCell ref="B3754:B3756"/>
    <mergeCell ref="C3754:F3755"/>
    <mergeCell ref="G3754:G3756"/>
    <mergeCell ref="H3754:H3756"/>
    <mergeCell ref="B3758:H3758"/>
    <mergeCell ref="B3765:H3765"/>
    <mergeCell ref="B3769:H3769"/>
    <mergeCell ref="B3775:H3775"/>
    <mergeCell ref="A3781:H3781"/>
    <mergeCell ref="A3837:H3837"/>
    <mergeCell ref="A3838:H3838"/>
    <mergeCell ref="A3847:H3847"/>
    <mergeCell ref="A3832:H3832"/>
    <mergeCell ref="B3826:H3826"/>
    <mergeCell ref="G3805:G3807"/>
    <mergeCell ref="H3805:H3807"/>
    <mergeCell ref="A3849:A3851"/>
    <mergeCell ref="B3849:B3851"/>
    <mergeCell ref="C3849:F3850"/>
    <mergeCell ref="G3849:G3851"/>
    <mergeCell ref="H3849:H3851"/>
    <mergeCell ref="B3853:H3853"/>
    <mergeCell ref="B3860:H3860"/>
    <mergeCell ref="B3864:H3864"/>
    <mergeCell ref="B3870:H3870"/>
    <mergeCell ref="A3876:H3876"/>
    <mergeCell ref="A3883:H3883"/>
    <mergeCell ref="A3884:H3884"/>
    <mergeCell ref="A3893:H3893"/>
    <mergeCell ref="A3895:A3897"/>
    <mergeCell ref="B3895:B3897"/>
    <mergeCell ref="C3895:F3896"/>
    <mergeCell ref="G3895:G3897"/>
    <mergeCell ref="H3895:H3897"/>
    <mergeCell ref="B3899:H3899"/>
    <mergeCell ref="B3906:H3906"/>
    <mergeCell ref="B3910:H3910"/>
    <mergeCell ref="B3916:H3916"/>
    <mergeCell ref="A3922:H3922"/>
    <mergeCell ref="A3929:H3929"/>
    <mergeCell ref="A3930:H3930"/>
    <mergeCell ref="A3939:H3939"/>
    <mergeCell ref="A3941:A3943"/>
    <mergeCell ref="B3941:B3943"/>
    <mergeCell ref="C3941:F3942"/>
    <mergeCell ref="G3941:G3943"/>
    <mergeCell ref="H3941:H3943"/>
    <mergeCell ref="B3945:H3945"/>
    <mergeCell ref="B3952:H3952"/>
    <mergeCell ref="B3956:H3956"/>
    <mergeCell ref="B3962:H3962"/>
    <mergeCell ref="A3968:H3968"/>
    <mergeCell ref="A3975:H3975"/>
    <mergeCell ref="A3976:H3976"/>
    <mergeCell ref="A3985:H3985"/>
    <mergeCell ref="A3987:A3989"/>
    <mergeCell ref="B3987:B3989"/>
    <mergeCell ref="C3987:F3988"/>
    <mergeCell ref="G3987:G3989"/>
    <mergeCell ref="H3987:H3989"/>
    <mergeCell ref="B3991:H3991"/>
    <mergeCell ref="B3998:H3998"/>
    <mergeCell ref="B4002:H4002"/>
    <mergeCell ref="B4008:H4008"/>
    <mergeCell ref="A4014:H4014"/>
    <mergeCell ref="A4021:H4021"/>
    <mergeCell ref="A4022:H4022"/>
    <mergeCell ref="A4031:H4031"/>
    <mergeCell ref="A4033:A4035"/>
    <mergeCell ref="B4033:B4035"/>
    <mergeCell ref="C4033:F4034"/>
    <mergeCell ref="G4033:G4035"/>
    <mergeCell ref="H4033:H4035"/>
    <mergeCell ref="B4037:H4037"/>
    <mergeCell ref="B4044:H4044"/>
    <mergeCell ref="B4048:H4048"/>
    <mergeCell ref="B4054:H4054"/>
    <mergeCell ref="A4060:H4060"/>
    <mergeCell ref="A4067:H4067"/>
    <mergeCell ref="A4068:H4068"/>
    <mergeCell ref="A4077:H4077"/>
    <mergeCell ref="A4079:A4081"/>
    <mergeCell ref="B4079:B4081"/>
    <mergeCell ref="C4079:F4080"/>
    <mergeCell ref="G4079:G4081"/>
    <mergeCell ref="H4079:H4081"/>
    <mergeCell ref="B4083:H4083"/>
    <mergeCell ref="B4090:H4090"/>
    <mergeCell ref="B4094:H4094"/>
    <mergeCell ref="B4100:H4100"/>
    <mergeCell ref="A4106:H4106"/>
    <mergeCell ref="A4113:H4113"/>
    <mergeCell ref="A4114:H4114"/>
    <mergeCell ref="A4123:H4123"/>
    <mergeCell ref="A4125:A4127"/>
    <mergeCell ref="B4125:B4127"/>
    <mergeCell ref="C4125:F4126"/>
    <mergeCell ref="G4125:G4127"/>
    <mergeCell ref="H4125:H4127"/>
    <mergeCell ref="B4129:H4129"/>
    <mergeCell ref="B4136:H4136"/>
    <mergeCell ref="B4140:H4140"/>
    <mergeCell ref="B4146:H4146"/>
    <mergeCell ref="A4152:H4152"/>
    <mergeCell ref="A4159:H4159"/>
    <mergeCell ref="A4160:H4160"/>
    <mergeCell ref="A4169:H4169"/>
    <mergeCell ref="A4171:A4173"/>
    <mergeCell ref="B4171:B4173"/>
    <mergeCell ref="C4171:F4172"/>
    <mergeCell ref="G4171:G4173"/>
    <mergeCell ref="H4171:H4173"/>
    <mergeCell ref="B4175:H4175"/>
    <mergeCell ref="B4182:H4182"/>
    <mergeCell ref="B4186:H4186"/>
    <mergeCell ref="B4192:H4192"/>
    <mergeCell ref="A4198:H4198"/>
    <mergeCell ref="A4205:H4205"/>
    <mergeCell ref="A4206:H4206"/>
    <mergeCell ref="A4215:H4215"/>
    <mergeCell ref="A4217:A4219"/>
    <mergeCell ref="B4217:B4219"/>
    <mergeCell ref="C4217:F4218"/>
    <mergeCell ref="G4217:G4219"/>
    <mergeCell ref="H4217:H4219"/>
    <mergeCell ref="B4221:H4221"/>
    <mergeCell ref="B4228:H4228"/>
    <mergeCell ref="B4232:H4232"/>
    <mergeCell ref="B4238:H4238"/>
    <mergeCell ref="A4244:H4244"/>
    <mergeCell ref="A4251:H4251"/>
    <mergeCell ref="A4252:H4252"/>
    <mergeCell ref="A4261:H4261"/>
    <mergeCell ref="A4263:A4265"/>
    <mergeCell ref="B4263:B4265"/>
    <mergeCell ref="C4263:F4264"/>
    <mergeCell ref="G4263:G4265"/>
    <mergeCell ref="H4263:H4265"/>
    <mergeCell ref="B4267:H4267"/>
    <mergeCell ref="B4274:H4274"/>
    <mergeCell ref="B4278:H4278"/>
    <mergeCell ref="B4284:H4284"/>
    <mergeCell ref="A4290:H4290"/>
    <mergeCell ref="A4297:H4297"/>
    <mergeCell ref="A4298:H4298"/>
    <mergeCell ref="A4307:H4307"/>
    <mergeCell ref="A4309:A4311"/>
    <mergeCell ref="B4309:B4311"/>
    <mergeCell ref="C4309:F4310"/>
    <mergeCell ref="G4309:G4311"/>
    <mergeCell ref="H4309:H4311"/>
    <mergeCell ref="B4313:H4313"/>
    <mergeCell ref="B4320:H4320"/>
    <mergeCell ref="B4324:H4324"/>
    <mergeCell ref="B4330:H4330"/>
    <mergeCell ref="A4336:H4336"/>
    <mergeCell ref="A4343:H4343"/>
    <mergeCell ref="A4344:H4344"/>
    <mergeCell ref="A4353:H4353"/>
    <mergeCell ref="A4355:A4357"/>
    <mergeCell ref="B4355:B4357"/>
    <mergeCell ref="C4355:F4356"/>
    <mergeCell ref="G4355:G4357"/>
    <mergeCell ref="H4355:H4357"/>
    <mergeCell ref="B4359:H4359"/>
    <mergeCell ref="B4366:H4366"/>
    <mergeCell ref="B4370:H4370"/>
    <mergeCell ref="B4376:H4376"/>
    <mergeCell ref="A4382:H4382"/>
    <mergeCell ref="A4389:H4389"/>
    <mergeCell ref="A4390:H4390"/>
    <mergeCell ref="A4399:H4399"/>
    <mergeCell ref="A4401:A4403"/>
    <mergeCell ref="B4401:B4403"/>
    <mergeCell ref="C4401:F4402"/>
    <mergeCell ref="G4401:G4403"/>
    <mergeCell ref="H4401:H4403"/>
    <mergeCell ref="B4405:H4405"/>
    <mergeCell ref="B4412:H4412"/>
    <mergeCell ref="B4416:H4416"/>
    <mergeCell ref="B4422:H4422"/>
    <mergeCell ref="A4428:H4428"/>
    <mergeCell ref="A4435:H4435"/>
    <mergeCell ref="A4436:H4436"/>
    <mergeCell ref="A4445:H4445"/>
    <mergeCell ref="A4447:A4449"/>
    <mergeCell ref="B4447:B4449"/>
    <mergeCell ref="C4447:F4448"/>
    <mergeCell ref="G4447:G4449"/>
    <mergeCell ref="H4447:H4449"/>
    <mergeCell ref="B4451:H4451"/>
    <mergeCell ref="B4458:H4458"/>
    <mergeCell ref="B4462:H4462"/>
    <mergeCell ref="B4468:H4468"/>
    <mergeCell ref="A4474:H4474"/>
    <mergeCell ref="A4481:H4481"/>
    <mergeCell ref="A4482:H4482"/>
    <mergeCell ref="A4491:H4491"/>
    <mergeCell ref="A4493:A4495"/>
    <mergeCell ref="B4493:B4495"/>
    <mergeCell ref="C4493:F4494"/>
    <mergeCell ref="G4493:G4495"/>
    <mergeCell ref="H4493:H4495"/>
    <mergeCell ref="B4497:H4497"/>
    <mergeCell ref="B4504:H4504"/>
    <mergeCell ref="B4508:H4508"/>
    <mergeCell ref="B4514:H4514"/>
    <mergeCell ref="A4520:H4520"/>
    <mergeCell ref="A4526:H4526"/>
    <mergeCell ref="A4527:H4527"/>
    <mergeCell ref="A4536:H4536"/>
    <mergeCell ref="A4538:A4540"/>
    <mergeCell ref="B4538:B4540"/>
    <mergeCell ref="C4538:F4539"/>
    <mergeCell ref="G4538:G4540"/>
    <mergeCell ref="H4538:H4540"/>
    <mergeCell ref="B4542:H4542"/>
    <mergeCell ref="B4549:H4549"/>
    <mergeCell ref="B4553:H4553"/>
    <mergeCell ref="B4559:H4559"/>
    <mergeCell ref="A4565:H4565"/>
    <mergeCell ref="A4572:H4572"/>
    <mergeCell ref="A4573:H4573"/>
    <mergeCell ref="A4582:H4582"/>
    <mergeCell ref="A4584:A4586"/>
    <mergeCell ref="B4584:B4586"/>
    <mergeCell ref="C4584:F4585"/>
    <mergeCell ref="G4584:G4586"/>
    <mergeCell ref="H4584:H4586"/>
    <mergeCell ref="B4588:H4588"/>
    <mergeCell ref="B4595:H4595"/>
    <mergeCell ref="B4599:H4599"/>
    <mergeCell ref="B4605:H4605"/>
    <mergeCell ref="A4611:H4611"/>
    <mergeCell ref="A4618:H4618"/>
    <mergeCell ref="A4619:H4619"/>
    <mergeCell ref="A4628:H4628"/>
    <mergeCell ref="A4630:A4632"/>
    <mergeCell ref="B4630:B4632"/>
    <mergeCell ref="C4630:F4631"/>
    <mergeCell ref="G4630:G4632"/>
    <mergeCell ref="H4630:H4632"/>
    <mergeCell ref="B4634:H4634"/>
    <mergeCell ref="B4641:H4641"/>
    <mergeCell ref="B4645:H4645"/>
    <mergeCell ref="B4651:H4651"/>
    <mergeCell ref="A4657:H4657"/>
    <mergeCell ref="A4664:H4664"/>
    <mergeCell ref="A4665:H4665"/>
    <mergeCell ref="A4674:H4674"/>
    <mergeCell ref="A4676:A4678"/>
    <mergeCell ref="B4676:B4678"/>
    <mergeCell ref="C4676:F4677"/>
    <mergeCell ref="G4676:G4678"/>
    <mergeCell ref="H4676:H4678"/>
    <mergeCell ref="B4680:H4680"/>
    <mergeCell ref="B4687:H4687"/>
    <mergeCell ref="B4691:H4691"/>
    <mergeCell ref="B4697:H4697"/>
    <mergeCell ref="A4703:H4703"/>
    <mergeCell ref="A4710:H4710"/>
    <mergeCell ref="A4711:H4711"/>
    <mergeCell ref="A4720:H4720"/>
    <mergeCell ref="A4722:A4724"/>
    <mergeCell ref="B4722:B4724"/>
    <mergeCell ref="C4722:F4723"/>
    <mergeCell ref="G4722:G4724"/>
    <mergeCell ref="H4722:H4724"/>
    <mergeCell ref="B4726:H4726"/>
    <mergeCell ref="B4733:H4733"/>
    <mergeCell ref="B4737:H4737"/>
    <mergeCell ref="B4743:H4743"/>
    <mergeCell ref="A4749:H4749"/>
    <mergeCell ref="A4756:H4756"/>
    <mergeCell ref="A4757:H4757"/>
    <mergeCell ref="A4766:H4766"/>
    <mergeCell ref="A4768:A4770"/>
    <mergeCell ref="B4768:B4770"/>
    <mergeCell ref="C4768:F4769"/>
    <mergeCell ref="G4768:G4770"/>
    <mergeCell ref="H4768:H4770"/>
    <mergeCell ref="B4772:H4772"/>
    <mergeCell ref="B4779:H4779"/>
    <mergeCell ref="B4783:H4783"/>
    <mergeCell ref="B4789:H4789"/>
    <mergeCell ref="A4795:H4795"/>
    <mergeCell ref="A4802:H4802"/>
    <mergeCell ref="A4803:H4803"/>
    <mergeCell ref="A4812:H4812"/>
    <mergeCell ref="A4814:A4816"/>
    <mergeCell ref="B4814:B4816"/>
    <mergeCell ref="C4814:F4815"/>
    <mergeCell ref="G4814:G4816"/>
    <mergeCell ref="H4814:H4816"/>
    <mergeCell ref="B4818:H4818"/>
    <mergeCell ref="B4825:H4825"/>
    <mergeCell ref="B4829:H4829"/>
    <mergeCell ref="B4835:H4835"/>
    <mergeCell ref="A4841:H4841"/>
    <mergeCell ref="A4848:H4848"/>
    <mergeCell ref="A4849:H4849"/>
    <mergeCell ref="A4858:H4858"/>
    <mergeCell ref="A4860:A4862"/>
    <mergeCell ref="B4860:B4862"/>
    <mergeCell ref="C4860:F4861"/>
    <mergeCell ref="G4860:G4862"/>
    <mergeCell ref="H4860:H4862"/>
    <mergeCell ref="B4864:H4864"/>
    <mergeCell ref="B4871:H4871"/>
    <mergeCell ref="B4875:H4875"/>
    <mergeCell ref="B4881:H4881"/>
    <mergeCell ref="A4887:H4887"/>
    <mergeCell ref="A4894:H4894"/>
    <mergeCell ref="A4895:H4895"/>
    <mergeCell ref="A4904:H4904"/>
    <mergeCell ref="A4906:A4908"/>
    <mergeCell ref="B4906:B4908"/>
    <mergeCell ref="C4906:F4907"/>
    <mergeCell ref="G4906:G4908"/>
    <mergeCell ref="H4906:H4908"/>
    <mergeCell ref="B4910:H4910"/>
    <mergeCell ref="B4917:H4917"/>
    <mergeCell ref="B4921:H4921"/>
    <mergeCell ref="B4927:H4927"/>
    <mergeCell ref="A4933:H4933"/>
    <mergeCell ref="A4940:H4940"/>
    <mergeCell ref="A4941:H4941"/>
    <mergeCell ref="A4950:H4950"/>
    <mergeCell ref="A4952:A4954"/>
    <mergeCell ref="B4952:B4954"/>
    <mergeCell ref="C4952:F4953"/>
    <mergeCell ref="G4952:G4954"/>
    <mergeCell ref="H4952:H4954"/>
    <mergeCell ref="B4956:H4956"/>
    <mergeCell ref="B4963:H4963"/>
    <mergeCell ref="B4967:H4967"/>
    <mergeCell ref="B4973:H4973"/>
    <mergeCell ref="A4979:H4979"/>
    <mergeCell ref="A4986:H4986"/>
    <mergeCell ref="A4987:H4987"/>
    <mergeCell ref="A4996:H4996"/>
    <mergeCell ref="A4998:A5000"/>
    <mergeCell ref="B4998:B5000"/>
    <mergeCell ref="C4998:F4999"/>
    <mergeCell ref="G4998:G5000"/>
    <mergeCell ref="H4998:H5000"/>
    <mergeCell ref="B5002:H5002"/>
    <mergeCell ref="B5009:H5009"/>
    <mergeCell ref="B5013:H5013"/>
    <mergeCell ref="B5019:H5019"/>
    <mergeCell ref="A5025:H5025"/>
    <mergeCell ref="A5032:H5032"/>
    <mergeCell ref="A5033:H5033"/>
    <mergeCell ref="A5042:H5042"/>
    <mergeCell ref="A5044:A5046"/>
    <mergeCell ref="B5044:B5046"/>
    <mergeCell ref="C5044:F5045"/>
    <mergeCell ref="G5044:G5046"/>
    <mergeCell ref="H5044:H5046"/>
    <mergeCell ref="B5048:H5048"/>
    <mergeCell ref="B5055:H5055"/>
    <mergeCell ref="B5059:H5059"/>
    <mergeCell ref="B5065:H5065"/>
    <mergeCell ref="A5071:H5071"/>
    <mergeCell ref="A5077:H5077"/>
    <mergeCell ref="A5078:H5078"/>
    <mergeCell ref="A5087:H5087"/>
    <mergeCell ref="A5089:A5091"/>
    <mergeCell ref="B5089:B5091"/>
    <mergeCell ref="C5089:F5090"/>
    <mergeCell ref="G5089:G5091"/>
    <mergeCell ref="H5089:H5091"/>
    <mergeCell ref="B5093:H5093"/>
    <mergeCell ref="B5100:H5100"/>
    <mergeCell ref="B5104:H5104"/>
    <mergeCell ref="B5110:H5110"/>
    <mergeCell ref="A5116:H5116"/>
    <mergeCell ref="A5123:H5123"/>
    <mergeCell ref="A5124:H5124"/>
    <mergeCell ref="A5133:H5133"/>
    <mergeCell ref="A5135:A5137"/>
    <mergeCell ref="B5135:B5137"/>
    <mergeCell ref="C5135:F5136"/>
    <mergeCell ref="G5135:G5137"/>
    <mergeCell ref="H5135:H5137"/>
    <mergeCell ref="B5139:H5139"/>
    <mergeCell ref="B5146:H5146"/>
    <mergeCell ref="B5150:H5150"/>
    <mergeCell ref="B5156:H5156"/>
    <mergeCell ref="A5162:H5162"/>
    <mergeCell ref="A5169:H5169"/>
    <mergeCell ref="A5170:H5170"/>
    <mergeCell ref="A5179:H5179"/>
    <mergeCell ref="A5181:A5183"/>
    <mergeCell ref="B5181:B5183"/>
    <mergeCell ref="C5181:F5182"/>
    <mergeCell ref="G5181:G5183"/>
    <mergeCell ref="H5181:H5183"/>
    <mergeCell ref="B5185:H5185"/>
    <mergeCell ref="B5192:H5192"/>
    <mergeCell ref="B5196:H5196"/>
    <mergeCell ref="B5202:H5202"/>
    <mergeCell ref="A5208:H5208"/>
    <mergeCell ref="A5215:H5215"/>
    <mergeCell ref="A5216:H5216"/>
    <mergeCell ref="A5225:H5225"/>
    <mergeCell ref="A5227:A5229"/>
    <mergeCell ref="B5227:B5229"/>
    <mergeCell ref="C5227:F5228"/>
    <mergeCell ref="G5227:G5229"/>
    <mergeCell ref="H5227:H5229"/>
    <mergeCell ref="B5231:H5231"/>
    <mergeCell ref="B5238:H5238"/>
    <mergeCell ref="B5242:H5242"/>
    <mergeCell ref="B5248:H5248"/>
    <mergeCell ref="A5254:H5254"/>
    <mergeCell ref="A5261:H5261"/>
    <mergeCell ref="A5262:H5262"/>
    <mergeCell ref="A5271:H5271"/>
    <mergeCell ref="A5273:A5275"/>
    <mergeCell ref="B5273:B5275"/>
    <mergeCell ref="C5273:F5274"/>
    <mergeCell ref="G5273:G5275"/>
    <mergeCell ref="H5273:H5275"/>
    <mergeCell ref="B5277:H5277"/>
    <mergeCell ref="B5284:H5284"/>
    <mergeCell ref="B5288:H5288"/>
    <mergeCell ref="B5294:H5294"/>
    <mergeCell ref="A5300:H5300"/>
    <mergeCell ref="A5308:H5308"/>
    <mergeCell ref="A5309:H5309"/>
    <mergeCell ref="A5318:H5318"/>
    <mergeCell ref="A5320:A5322"/>
    <mergeCell ref="B5320:B5322"/>
    <mergeCell ref="C5320:F5321"/>
    <mergeCell ref="G5320:G5322"/>
    <mergeCell ref="H5320:H5322"/>
    <mergeCell ref="B5324:H5324"/>
    <mergeCell ref="B5331:H5331"/>
    <mergeCell ref="B5335:H5335"/>
    <mergeCell ref="B5341:H5341"/>
    <mergeCell ref="A5347:H5347"/>
    <mergeCell ref="A5356:H5356"/>
    <mergeCell ref="A5357:H5357"/>
    <mergeCell ref="A5366:H5366"/>
    <mergeCell ref="A5368:A5370"/>
    <mergeCell ref="B5368:B5370"/>
    <mergeCell ref="C5368:F5369"/>
    <mergeCell ref="G5368:G5370"/>
    <mergeCell ref="H5368:H5370"/>
    <mergeCell ref="B5372:H5372"/>
    <mergeCell ref="B5379:H5379"/>
    <mergeCell ref="B5383:H5383"/>
    <mergeCell ref="B5389:H5389"/>
    <mergeCell ref="A5395:H5395"/>
    <mergeCell ref="A5404:H5404"/>
    <mergeCell ref="A5405:H5405"/>
    <mergeCell ref="A5414:H5414"/>
    <mergeCell ref="A5416:A5418"/>
    <mergeCell ref="B5416:B5418"/>
    <mergeCell ref="C5416:F5417"/>
    <mergeCell ref="G5416:G5418"/>
    <mergeCell ref="H5416:H5418"/>
    <mergeCell ref="B5420:H5420"/>
    <mergeCell ref="B5427:H5427"/>
    <mergeCell ref="B5431:H5431"/>
    <mergeCell ref="B5437:H5437"/>
    <mergeCell ref="A5443:H5443"/>
    <mergeCell ref="A5453:H5453"/>
    <mergeCell ref="A5454:H5454"/>
    <mergeCell ref="A5463:H5463"/>
    <mergeCell ref="A5465:A5467"/>
    <mergeCell ref="B5465:B5467"/>
    <mergeCell ref="C5465:F5466"/>
    <mergeCell ref="G5465:G5467"/>
    <mergeCell ref="H5465:H5467"/>
    <mergeCell ref="B5469:H5469"/>
    <mergeCell ref="B5476:H5476"/>
    <mergeCell ref="B5480:H5480"/>
    <mergeCell ref="B5486:H5486"/>
    <mergeCell ref="A5492:H5492"/>
    <mergeCell ref="A5499:H5499"/>
    <mergeCell ref="A5500:H5500"/>
    <mergeCell ref="A5509:H5509"/>
    <mergeCell ref="A5511:A5513"/>
    <mergeCell ref="B5511:B5513"/>
    <mergeCell ref="C5511:F5512"/>
    <mergeCell ref="G5511:G5513"/>
    <mergeCell ref="H5511:H5513"/>
    <mergeCell ref="B5515:H5515"/>
    <mergeCell ref="B5522:H5522"/>
    <mergeCell ref="B5526:H5526"/>
    <mergeCell ref="B5532:H5532"/>
    <mergeCell ref="A5538:H5538"/>
    <mergeCell ref="A5545:H5545"/>
    <mergeCell ref="A5546:H5546"/>
    <mergeCell ref="A5555:H5555"/>
    <mergeCell ref="A5557:A5559"/>
    <mergeCell ref="B5557:B5559"/>
    <mergeCell ref="C5557:F5558"/>
    <mergeCell ref="G5557:G5559"/>
    <mergeCell ref="H5557:H5559"/>
    <mergeCell ref="B5561:H5561"/>
    <mergeCell ref="B5568:H5568"/>
    <mergeCell ref="B5572:H5572"/>
    <mergeCell ref="B5578:H5578"/>
    <mergeCell ref="A5584:H5584"/>
    <mergeCell ref="A5592:H5592"/>
    <mergeCell ref="A5593:H5593"/>
    <mergeCell ref="A5602:H5602"/>
    <mergeCell ref="A5604:A5606"/>
    <mergeCell ref="B5604:B5606"/>
    <mergeCell ref="C5604:F5605"/>
    <mergeCell ref="G5604:G5606"/>
    <mergeCell ref="H5604:H5606"/>
    <mergeCell ref="B5608:H5608"/>
    <mergeCell ref="B5615:H5615"/>
    <mergeCell ref="B5619:H5619"/>
    <mergeCell ref="B5625:H5625"/>
    <mergeCell ref="A5635:H5635"/>
    <mergeCell ref="A5636:H5636"/>
    <mergeCell ref="A5645:H5645"/>
    <mergeCell ref="A5647:A5649"/>
    <mergeCell ref="B5647:B5649"/>
    <mergeCell ref="C5647:F5648"/>
    <mergeCell ref="G5647:G5649"/>
    <mergeCell ref="H5647:H5649"/>
    <mergeCell ref="B5651:H5651"/>
    <mergeCell ref="B5658:H5658"/>
    <mergeCell ref="B5662:H5662"/>
    <mergeCell ref="B5668:H5668"/>
    <mergeCell ref="A5674:H5674"/>
    <mergeCell ref="A5683:H5683"/>
    <mergeCell ref="A5684:H5684"/>
    <mergeCell ref="A5693:H5693"/>
    <mergeCell ref="A5695:A5697"/>
    <mergeCell ref="B5695:B5697"/>
    <mergeCell ref="C5695:F5696"/>
    <mergeCell ref="G5695:G5697"/>
    <mergeCell ref="H5695:H5697"/>
    <mergeCell ref="B5699:H5699"/>
    <mergeCell ref="B5706:H5706"/>
    <mergeCell ref="B5710:H5710"/>
    <mergeCell ref="B5716:H5716"/>
    <mergeCell ref="A5722:H5722"/>
    <mergeCell ref="A5730:H5730"/>
    <mergeCell ref="A5731:H5731"/>
    <mergeCell ref="A5740:H5740"/>
    <mergeCell ref="A5742:A5744"/>
    <mergeCell ref="B5742:B5744"/>
    <mergeCell ref="C5742:F5743"/>
    <mergeCell ref="G5742:G5744"/>
    <mergeCell ref="H5742:H5744"/>
    <mergeCell ref="B5746:H5746"/>
    <mergeCell ref="B5753:H5753"/>
    <mergeCell ref="B5757:H5757"/>
    <mergeCell ref="B5763:H5763"/>
    <mergeCell ref="A5769:H5769"/>
    <mergeCell ref="A5779:H5779"/>
    <mergeCell ref="A5780:H5780"/>
    <mergeCell ref="A5789:H5789"/>
    <mergeCell ref="A5791:A5793"/>
    <mergeCell ref="B5791:B5793"/>
    <mergeCell ref="C5791:F5792"/>
    <mergeCell ref="G5791:G5793"/>
    <mergeCell ref="H5791:H5793"/>
    <mergeCell ref="B5795:H5795"/>
    <mergeCell ref="B5802:H5802"/>
    <mergeCell ref="B5806:H5806"/>
    <mergeCell ref="B5812:H5812"/>
    <mergeCell ref="A5818:H5818"/>
    <mergeCell ref="A5827:H5827"/>
    <mergeCell ref="A5828:H5828"/>
    <mergeCell ref="A5837:H5837"/>
    <mergeCell ref="A5839:A5841"/>
    <mergeCell ref="B5839:B5841"/>
    <mergeCell ref="C5839:F5840"/>
    <mergeCell ref="G5839:G5841"/>
    <mergeCell ref="H5839:H5841"/>
    <mergeCell ref="B5843:H5843"/>
    <mergeCell ref="B5850:H5850"/>
    <mergeCell ref="B5854:H5854"/>
    <mergeCell ref="B5860:H5860"/>
    <mergeCell ref="A5866:H5866"/>
    <mergeCell ref="A5873:H5873"/>
    <mergeCell ref="A5874:H5874"/>
    <mergeCell ref="A5883:H5883"/>
    <mergeCell ref="A5885:A5887"/>
    <mergeCell ref="B5885:B5887"/>
    <mergeCell ref="C5885:F5886"/>
    <mergeCell ref="G5885:G5887"/>
    <mergeCell ref="H5885:H5887"/>
    <mergeCell ref="B5889:H5889"/>
    <mergeCell ref="B5896:H5896"/>
    <mergeCell ref="B5900:H5900"/>
    <mergeCell ref="B5906:H5906"/>
    <mergeCell ref="A5912:H5912"/>
    <mergeCell ref="A5921:H5921"/>
    <mergeCell ref="A5922:H5922"/>
    <mergeCell ref="A5931:H5931"/>
    <mergeCell ref="A5933:A5935"/>
    <mergeCell ref="B5933:B5935"/>
    <mergeCell ref="C5933:F5934"/>
    <mergeCell ref="G5933:G5935"/>
    <mergeCell ref="H5933:H5935"/>
    <mergeCell ref="B5937:H5937"/>
    <mergeCell ref="B5944:H5944"/>
    <mergeCell ref="B5948:H5948"/>
    <mergeCell ref="B5954:H5954"/>
    <mergeCell ref="A5960:H5960"/>
    <mergeCell ref="A5968:H5968"/>
    <mergeCell ref="A5969:H5969"/>
    <mergeCell ref="A5978:H5978"/>
    <mergeCell ref="A5980:A5982"/>
    <mergeCell ref="B5980:B5982"/>
    <mergeCell ref="C5980:F5981"/>
    <mergeCell ref="G5980:G5982"/>
    <mergeCell ref="H5980:H5982"/>
    <mergeCell ref="B5984:H5984"/>
    <mergeCell ref="B5991:H5991"/>
    <mergeCell ref="B5995:H5995"/>
    <mergeCell ref="B6001:H6001"/>
    <mergeCell ref="A6007:H6007"/>
    <mergeCell ref="A6017:H6017"/>
    <mergeCell ref="A6018:H6018"/>
    <mergeCell ref="A6027:H6027"/>
    <mergeCell ref="B6050:H6050"/>
    <mergeCell ref="A6056:H6056"/>
    <mergeCell ref="H6029:H6031"/>
    <mergeCell ref="B6033:H6033"/>
    <mergeCell ref="B6040:H6040"/>
    <mergeCell ref="B6044:H6044"/>
    <mergeCell ref="A6029:A6031"/>
    <mergeCell ref="B6029:B6031"/>
    <mergeCell ref="C6029:F6030"/>
    <mergeCell ref="G6029:G6031"/>
  </mergeCells>
  <printOptions/>
  <pageMargins left="0.5902777777777778" right="0.27569444444444446" top="0.19652777777777777" bottom="0.15763888888888888" header="0.5118055555555555" footer="0.5118055555555555"/>
  <pageSetup horizontalDpi="300" verticalDpi="300" orientation="portrait" paperSize="9" scale="83" r:id="rId1"/>
  <rowBreaks count="62" manualBreakCount="62">
    <brk id="45" max="255" man="1"/>
    <brk id="91" max="255" man="1"/>
    <brk id="137" max="255" man="1"/>
    <brk id="183" max="255" man="1"/>
    <brk id="229" max="255" man="1"/>
    <brk id="275" max="255" man="1"/>
    <brk id="320" max="255" man="1"/>
    <brk id="366" max="255" man="1"/>
    <brk id="411" max="255" man="1"/>
    <brk id="456" max="255" man="1"/>
    <brk id="501" max="255" man="1"/>
    <brk id="547" max="255" man="1"/>
    <brk id="593" max="255" man="1"/>
    <brk id="639" max="255" man="1"/>
    <brk id="685" max="255" man="1"/>
    <brk id="731" max="255" man="1"/>
    <brk id="777" max="255" man="1"/>
    <brk id="823" max="255" man="1"/>
    <brk id="869" max="255" man="1"/>
    <brk id="915" max="255" man="1"/>
    <brk id="961" max="255" man="1"/>
    <brk id="1007" max="255" man="1"/>
    <brk id="1053" max="255" man="1"/>
    <brk id="1099" max="255" man="1"/>
    <brk id="1145" max="255" man="1"/>
    <brk id="1191" max="255" man="1"/>
    <brk id="1237" max="255" man="1"/>
    <brk id="3877" max="255" man="1"/>
    <brk id="3923" max="255" man="1"/>
    <brk id="3969" max="255" man="1"/>
    <brk id="4015" max="255" man="1"/>
    <brk id="4061" max="255" man="1"/>
    <brk id="4107" max="255" man="1"/>
    <brk id="4153" max="255" man="1"/>
    <brk id="4199" max="255" man="1"/>
    <brk id="4245" max="255" man="1"/>
    <brk id="4291" max="255" man="1"/>
    <brk id="4337" max="255" man="1"/>
    <brk id="4383" max="255" man="1"/>
    <brk id="4429" max="255" man="1"/>
    <brk id="4475" max="255" man="1"/>
    <brk id="4566" max="255" man="1"/>
    <brk id="4612" max="255" man="1"/>
    <brk id="4658" max="255" man="1"/>
    <brk id="4704" max="255" man="1"/>
    <brk id="4750" max="255" man="1"/>
    <brk id="4796" max="255" man="1"/>
    <brk id="4842" max="255" man="1"/>
    <brk id="4888" max="255" man="1"/>
    <brk id="4934" max="255" man="1"/>
    <brk id="4980" max="255" man="1"/>
    <brk id="5026" max="255" man="1"/>
    <brk id="5117" max="255" man="1"/>
    <brk id="5163" max="255" man="1"/>
    <brk id="5209" max="255" man="1"/>
    <brk id="5255" max="255" man="1"/>
    <brk id="5447" max="255" man="1"/>
    <brk id="5493" max="255" man="1"/>
    <brk id="5539" max="255" man="1"/>
    <brk id="5629" max="255" man="1"/>
    <brk id="5821" max="255" man="1"/>
    <brk id="58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P38"/>
  <sheetViews>
    <sheetView view="pageBreakPreview" zoomScale="61" zoomScaleNormal="66" zoomScaleSheetLayoutView="61" workbookViewId="0" topLeftCell="A1">
      <selection activeCell="A1" sqref="A1"/>
    </sheetView>
  </sheetViews>
  <sheetFormatPr defaultColWidth="9.00390625" defaultRowHeight="15.75"/>
  <cols>
    <col min="1" max="1" width="17.75390625" style="2" customWidth="1"/>
    <col min="2" max="2" width="57.375" style="2" customWidth="1"/>
    <col min="3" max="3" width="22.875" style="2" customWidth="1"/>
    <col min="4" max="16384" width="9.00390625" style="2" customWidth="1"/>
  </cols>
  <sheetData>
    <row r="2" ht="15.75">
      <c r="C2" s="11" t="s">
        <v>31</v>
      </c>
    </row>
    <row r="3" ht="15.75">
      <c r="C3" s="11" t="s">
        <v>610</v>
      </c>
    </row>
    <row r="4" ht="15.75">
      <c r="C4" s="11" t="s">
        <v>611</v>
      </c>
    </row>
    <row r="5" ht="15.75">
      <c r="C5" s="11"/>
    </row>
    <row r="6" spans="1:16" ht="42.75" customHeight="1">
      <c r="A6" s="716" t="s">
        <v>32</v>
      </c>
      <c r="B6" s="716"/>
      <c r="C6" s="716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</row>
    <row r="7" ht="15.75">
      <c r="C7" s="11"/>
    </row>
    <row r="8" ht="15.75">
      <c r="C8" s="11" t="s">
        <v>43</v>
      </c>
    </row>
    <row r="9" ht="15.75">
      <c r="C9" s="11" t="s">
        <v>44</v>
      </c>
    </row>
    <row r="10" ht="15.75">
      <c r="C10" s="11" t="s">
        <v>45</v>
      </c>
    </row>
    <row r="11" ht="15.75">
      <c r="C11" s="594" t="s">
        <v>614</v>
      </c>
    </row>
    <row r="12" ht="15.75">
      <c r="C12" s="166" t="e">
        <f>#REF!</f>
        <v>#REF!</v>
      </c>
    </row>
    <row r="13" ht="15.75">
      <c r="C13" s="11" t="s">
        <v>47</v>
      </c>
    </row>
    <row r="16" spans="1:3" ht="15.75">
      <c r="A16" s="624" t="s">
        <v>48</v>
      </c>
      <c r="B16" s="625" t="s">
        <v>33</v>
      </c>
      <c r="C16" s="626" t="s">
        <v>34</v>
      </c>
    </row>
    <row r="17" spans="1:3" ht="15.75">
      <c r="A17" s="627">
        <v>1</v>
      </c>
      <c r="B17" s="628" t="s">
        <v>624</v>
      </c>
      <c r="C17" s="629"/>
    </row>
    <row r="18" spans="1:3" ht="15.75">
      <c r="A18" s="608" t="s">
        <v>74</v>
      </c>
      <c r="B18" s="609" t="s">
        <v>625</v>
      </c>
      <c r="C18" s="630" t="s">
        <v>35</v>
      </c>
    </row>
    <row r="19" spans="1:3" ht="15.75">
      <c r="A19" s="608" t="s">
        <v>313</v>
      </c>
      <c r="B19" s="609" t="s">
        <v>627</v>
      </c>
      <c r="C19" s="630" t="s">
        <v>35</v>
      </c>
    </row>
    <row r="20" spans="1:3" ht="15.75">
      <c r="A20" s="608" t="s">
        <v>315</v>
      </c>
      <c r="B20" s="613" t="s">
        <v>628</v>
      </c>
      <c r="C20" s="630" t="s">
        <v>35</v>
      </c>
    </row>
    <row r="21" spans="1:3" ht="31.5">
      <c r="A21" s="608" t="s">
        <v>317</v>
      </c>
      <c r="B21" s="613" t="s">
        <v>629</v>
      </c>
      <c r="C21" s="630" t="s">
        <v>35</v>
      </c>
    </row>
    <row r="22" spans="1:3" ht="15.75">
      <c r="A22" s="608" t="s">
        <v>630</v>
      </c>
      <c r="B22" s="613" t="s">
        <v>631</v>
      </c>
      <c r="C22" s="630" t="s">
        <v>35</v>
      </c>
    </row>
    <row r="23" spans="1:3" ht="15.75">
      <c r="A23" s="608" t="s">
        <v>632</v>
      </c>
      <c r="B23" s="613" t="s">
        <v>633</v>
      </c>
      <c r="C23" s="630" t="s">
        <v>36</v>
      </c>
    </row>
    <row r="24" spans="1:3" ht="15.75">
      <c r="A24" s="608">
        <v>2</v>
      </c>
      <c r="B24" s="631" t="s">
        <v>634</v>
      </c>
      <c r="C24" s="632"/>
    </row>
    <row r="25" spans="1:3" ht="15.75">
      <c r="A25" s="608" t="s">
        <v>321</v>
      </c>
      <c r="B25" s="613" t="s">
        <v>635</v>
      </c>
      <c r="C25" s="630" t="s">
        <v>35</v>
      </c>
    </row>
    <row r="26" spans="1:3" ht="31.5">
      <c r="A26" s="608" t="s">
        <v>325</v>
      </c>
      <c r="B26" s="613" t="s">
        <v>638</v>
      </c>
      <c r="C26" s="630" t="s">
        <v>35</v>
      </c>
    </row>
    <row r="27" spans="1:3" ht="15.75">
      <c r="A27" s="608" t="s">
        <v>639</v>
      </c>
      <c r="B27" s="613" t="s">
        <v>640</v>
      </c>
      <c r="C27" s="630" t="s">
        <v>35</v>
      </c>
    </row>
    <row r="28" spans="1:3" ht="31.5">
      <c r="A28" s="608">
        <v>3</v>
      </c>
      <c r="B28" s="631" t="s">
        <v>641</v>
      </c>
      <c r="C28" s="632"/>
    </row>
    <row r="29" spans="1:3" ht="30.75" customHeight="1">
      <c r="A29" s="608" t="s">
        <v>378</v>
      </c>
      <c r="B29" s="613" t="s">
        <v>642</v>
      </c>
      <c r="C29" s="630" t="s">
        <v>36</v>
      </c>
    </row>
    <row r="30" spans="1:3" ht="15.75">
      <c r="A30" s="608" t="s">
        <v>643</v>
      </c>
      <c r="B30" s="613" t="s">
        <v>644</v>
      </c>
      <c r="C30" s="630" t="s">
        <v>35</v>
      </c>
    </row>
    <row r="31" spans="1:3" ht="15.75">
      <c r="A31" s="608" t="s">
        <v>380</v>
      </c>
      <c r="B31" s="613" t="s">
        <v>646</v>
      </c>
      <c r="C31" s="630" t="s">
        <v>36</v>
      </c>
    </row>
    <row r="32" spans="1:3" ht="15.75">
      <c r="A32" s="608" t="s">
        <v>649</v>
      </c>
      <c r="B32" s="613" t="s">
        <v>650</v>
      </c>
      <c r="C32" s="630" t="s">
        <v>36</v>
      </c>
    </row>
    <row r="33" spans="1:3" ht="15.75">
      <c r="A33" s="608" t="s">
        <v>653</v>
      </c>
      <c r="B33" s="613" t="s">
        <v>654</v>
      </c>
      <c r="C33" s="630" t="s">
        <v>35</v>
      </c>
    </row>
    <row r="34" spans="1:3" ht="15.75">
      <c r="A34" s="608">
        <v>4</v>
      </c>
      <c r="B34" s="631" t="s">
        <v>656</v>
      </c>
      <c r="C34" s="632"/>
    </row>
    <row r="35" spans="1:3" ht="15.75">
      <c r="A35" s="608" t="s">
        <v>657</v>
      </c>
      <c r="B35" s="613" t="s">
        <v>658</v>
      </c>
      <c r="C35" s="630" t="s">
        <v>36</v>
      </c>
    </row>
    <row r="36" spans="1:3" ht="31.5">
      <c r="A36" s="608" t="s">
        <v>659</v>
      </c>
      <c r="B36" s="613" t="s">
        <v>660</v>
      </c>
      <c r="C36" s="630" t="s">
        <v>35</v>
      </c>
    </row>
    <row r="37" spans="1:3" ht="15.75">
      <c r="A37" s="615" t="s">
        <v>661</v>
      </c>
      <c r="B37" s="616" t="s">
        <v>662</v>
      </c>
      <c r="C37" s="633" t="s">
        <v>35</v>
      </c>
    </row>
    <row r="38" spans="1:3" ht="15.75">
      <c r="A38" s="615" t="s">
        <v>663</v>
      </c>
      <c r="B38" s="616" t="s">
        <v>664</v>
      </c>
      <c r="C38" s="633" t="s">
        <v>35</v>
      </c>
    </row>
  </sheetData>
  <sheetProtection selectLockedCells="1" selectUnlockedCells="1"/>
  <mergeCells count="1">
    <mergeCell ref="A6:C6"/>
  </mergeCells>
  <printOptions/>
  <pageMargins left="0.2" right="0.19027777777777777" top="0.9840277777777777" bottom="0.98402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ЕментянНА</cp:lastModifiedBy>
  <cp:lastPrinted>2016-02-27T09:12:50Z</cp:lastPrinted>
  <dcterms:created xsi:type="dcterms:W3CDTF">2016-02-29T09:49:20Z</dcterms:created>
  <dcterms:modified xsi:type="dcterms:W3CDTF">2016-02-29T10:00:26Z</dcterms:modified>
  <cp:category/>
  <cp:version/>
  <cp:contentType/>
  <cp:contentStatus/>
</cp:coreProperties>
</file>